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5180" windowHeight="8280" tabRatio="944" activeTab="0"/>
  </bookViews>
  <sheets>
    <sheet name="Read_Me" sheetId="1" r:id="rId1"/>
    <sheet name="Cover Sheet" sheetId="2" r:id="rId2"/>
    <sheet name="Chassis Pics" sheetId="3" r:id="rId3"/>
    <sheet name="MaterialData" sheetId="4" r:id="rId4"/>
    <sheet name="T3.11 Main Hoop Tubing" sheetId="5" r:id="rId5"/>
    <sheet name="T3.12 Front Hoop Tubing" sheetId="6" r:id="rId6"/>
    <sheet name="T3.13 Main Hoop Bracing" sheetId="7" r:id="rId7"/>
    <sheet name="T3.13.6 T3.37 MHoop Brace Spt" sheetId="8" r:id="rId8"/>
    <sheet name="T3.14 T3.37 FHoop Bracing" sheetId="9" r:id="rId9"/>
    <sheet name="T3.19 T3.32 Ft Bulkhead" sheetId="10" r:id="rId10"/>
    <sheet name="T3.20 T3.33 FBH S'pt Structure" sheetId="11" r:id="rId11"/>
    <sheet name="T3.21.6 IA AI Plate" sheetId="12" r:id="rId12"/>
    <sheet name="T3.25 T3.34 Side Impact Struct." sheetId="13" r:id="rId13"/>
    <sheet name="T5.4 Shoulder Harness Bar" sheetId="14" r:id="rId14"/>
    <sheet name="Welded Tube Inserts" sheetId="15" r:id="rId15"/>
    <sheet name="Additional Info" sheetId="16" r:id="rId16"/>
  </sheets>
  <definedNames>
    <definedName name="ConstructionType">'MaterialData'!$B$20:$B$22</definedName>
    <definedName name="Innertable">'MaterialData'!$C$5:$K$10</definedName>
    <definedName name="Materialname">'MaterialData'!$C$4:$K$4</definedName>
    <definedName name="Materials">'MaterialData'!$C$3:$K$3</definedName>
    <definedName name="_xlnm.Print_Area" localSheetId="14">'Welded Tube Inserts'!$A$1:$O$55</definedName>
    <definedName name="Table">'MaterialData'!$B$3:$K$10</definedName>
    <definedName name="Tube_Type">'MaterialData'!$B$24:$B$25</definedName>
  </definedNames>
  <calcPr fullCalcOnLoad="1"/>
</workbook>
</file>

<file path=xl/comments10.xml><?xml version="1.0" encoding="utf-8"?>
<comments xmlns="http://schemas.openxmlformats.org/spreadsheetml/2006/main">
  <authors>
    <author>Andrew Deakin</author>
    <author>Dan Jones</author>
  </authors>
  <commentList>
    <comment ref="E16" authorId="0">
      <text>
        <r>
          <rPr>
            <b/>
            <sz val="8"/>
            <rFont val="Tahoma"/>
            <family val="2"/>
          </rPr>
          <t>Minimum = 
 - 1.2 mm for steel
 - 3mm for aluminium</t>
        </r>
      </text>
    </comment>
    <comment ref="F21" authorId="1">
      <text>
        <r>
          <rPr>
            <b/>
            <sz val="9"/>
            <rFont val="Tahoma"/>
            <family val="2"/>
          </rPr>
          <t>Calculated from bulkhead and cutout sizes entered in cells L15 to L19</t>
        </r>
      </text>
    </comment>
    <comment ref="R6" authorId="1">
      <text>
        <r>
          <rPr>
            <sz val="9"/>
            <rFont val="Tahoma"/>
            <family val="2"/>
          </rPr>
          <t>Max allowable depth from rules</t>
        </r>
      </text>
    </comment>
    <comment ref="F25" authorId="1">
      <text>
        <r>
          <rPr>
            <b/>
            <sz val="9"/>
            <rFont val="Tahoma"/>
            <family val="2"/>
          </rPr>
          <t>For reference only, excludes the FBHS contribution</t>
        </r>
        <r>
          <rPr>
            <sz val="9"/>
            <rFont val="Tahoma"/>
            <family val="2"/>
          </rPr>
          <t xml:space="preserve">
</t>
        </r>
      </text>
    </comment>
  </commentList>
</comments>
</file>

<file path=xl/comments11.xml><?xml version="1.0" encoding="utf-8"?>
<comments xmlns="http://schemas.openxmlformats.org/spreadsheetml/2006/main">
  <authors>
    <author>Andrew Deakin</author>
  </authors>
  <commentList>
    <comment ref="E16" authorId="0">
      <text>
        <r>
          <rPr>
            <b/>
            <sz val="8"/>
            <rFont val="Tahoma"/>
            <family val="2"/>
          </rPr>
          <t>Minimum = 
 - 1.2 mm for steel
 - 3mm for aluminium</t>
        </r>
      </text>
    </comment>
    <comment ref="F16" authorId="0">
      <text>
        <r>
          <rPr>
            <b/>
            <sz val="8"/>
            <rFont val="Tahoma"/>
            <family val="2"/>
          </rPr>
          <t>Minimum = 
 - 1.2 mm for steel
 - 3mm for aluminium</t>
        </r>
      </text>
    </comment>
    <comment ref="G16" authorId="0">
      <text>
        <r>
          <rPr>
            <b/>
            <sz val="8"/>
            <rFont val="Tahoma"/>
            <family val="2"/>
          </rPr>
          <t>Minimum = 
 - 1.2 mm for steel
 - 3mm for aluminium</t>
        </r>
      </text>
    </comment>
  </commentList>
</comments>
</file>

<file path=xl/comments12.xml><?xml version="1.0" encoding="utf-8"?>
<comments xmlns="http://schemas.openxmlformats.org/spreadsheetml/2006/main">
  <authors>
    <author>Dan Jones</author>
  </authors>
  <commentList>
    <comment ref="C14" authorId="0">
      <text>
        <r>
          <rPr>
            <b/>
            <sz val="9"/>
            <rFont val="Tahoma"/>
            <family val="2"/>
          </rPr>
          <t>As per FSAE standard impact attenutor</t>
        </r>
      </text>
    </comment>
    <comment ref="D4" authorId="0">
      <text>
        <r>
          <rPr>
            <b/>
            <sz val="9"/>
            <rFont val="Tahoma"/>
            <family val="2"/>
          </rPr>
          <t>Use "Aluminium 1" for baseline aluminium AI plate</t>
        </r>
      </text>
    </comment>
  </commentList>
</comments>
</file>

<file path=xl/comments13.xml><?xml version="1.0" encoding="utf-8"?>
<comments xmlns="http://schemas.openxmlformats.org/spreadsheetml/2006/main">
  <authors>
    <author>Andrew Deakin</author>
  </authors>
  <commentList>
    <comment ref="E16" authorId="0">
      <text>
        <r>
          <rPr>
            <b/>
            <sz val="8"/>
            <rFont val="Tahoma"/>
            <family val="2"/>
          </rPr>
          <t>Minimum = 
 - 1.2 mm for steel
 - 3mm for aluminium</t>
        </r>
      </text>
    </comment>
    <comment ref="F16" authorId="0">
      <text>
        <r>
          <rPr>
            <b/>
            <sz val="8"/>
            <rFont val="Tahoma"/>
            <family val="2"/>
          </rPr>
          <t>Minimum = 
 - 1.2 mm for steel
 - 3mm for aluminium</t>
        </r>
      </text>
    </comment>
    <comment ref="G16" authorId="0">
      <text>
        <r>
          <rPr>
            <b/>
            <sz val="8"/>
            <rFont val="Tahoma"/>
            <family val="2"/>
          </rPr>
          <t>Minimum = 
 - 1.2 mm for steel
 - 3mm for aluminium</t>
        </r>
      </text>
    </comment>
  </commentList>
</comments>
</file>

<file path=xl/comments14.xml><?xml version="1.0" encoding="utf-8"?>
<comments xmlns="http://schemas.openxmlformats.org/spreadsheetml/2006/main">
  <authors>
    <author>Andrew Deakin</author>
  </authors>
  <commentList>
    <comment ref="E16" authorId="0">
      <text>
        <r>
          <rPr>
            <b/>
            <sz val="8"/>
            <rFont val="Tahoma"/>
            <family val="2"/>
          </rPr>
          <t>Minimum = 
 - 2mm for steel
 - 3mm for aluminium</t>
        </r>
      </text>
    </comment>
  </commentList>
</comments>
</file>

<file path=xl/comments15.xml><?xml version="1.0" encoding="utf-8"?>
<comments xmlns="http://schemas.openxmlformats.org/spreadsheetml/2006/main">
  <authors>
    <author>Dan Jones</author>
  </authors>
  <commentList>
    <comment ref="D19" authorId="0">
      <text>
        <r>
          <rPr>
            <b/>
            <sz val="9"/>
            <rFont val="Tahoma"/>
            <family val="2"/>
          </rPr>
          <t>About the weakest axis</t>
        </r>
      </text>
    </comment>
  </commentList>
</comments>
</file>

<file path=xl/comments4.xml><?xml version="1.0" encoding="utf-8"?>
<comments xmlns="http://schemas.openxmlformats.org/spreadsheetml/2006/main">
  <authors>
    <author>Dan Jones</author>
  </authors>
  <commentList>
    <comment ref="B10" authorId="0">
      <text>
        <r>
          <rPr>
            <b/>
            <sz val="9"/>
            <rFont val="Tahoma"/>
            <family val="2"/>
          </rPr>
          <t>Used for Impact Attenuator AI Plate Calcs Only</t>
        </r>
      </text>
    </comment>
  </commentList>
</comments>
</file>

<file path=xl/comments5.xml><?xml version="1.0" encoding="utf-8"?>
<comments xmlns="http://schemas.openxmlformats.org/spreadsheetml/2006/main">
  <authors>
    <author>Andrew Deakin</author>
  </authors>
  <commentList>
    <comment ref="D14" authorId="0">
      <text>
        <r>
          <rPr>
            <b/>
            <sz val="8"/>
            <rFont val="Tahoma"/>
            <family val="2"/>
          </rPr>
          <t>Minimum = 
 - 2mm for steel
 - 3mm for aluminium</t>
        </r>
      </text>
    </comment>
  </commentList>
</comments>
</file>

<file path=xl/comments6.xml><?xml version="1.0" encoding="utf-8"?>
<comments xmlns="http://schemas.openxmlformats.org/spreadsheetml/2006/main">
  <authors>
    <author>Andrew Deakin</author>
  </authors>
  <commentList>
    <comment ref="D14" authorId="0">
      <text>
        <r>
          <rPr>
            <b/>
            <sz val="8"/>
            <rFont val="Tahoma"/>
            <family val="2"/>
          </rPr>
          <t>Minimum = 
 - 2mm for steel
 - 3mm for aluminium</t>
        </r>
      </text>
    </comment>
  </commentList>
</comments>
</file>

<file path=xl/comments7.xml><?xml version="1.0" encoding="utf-8"?>
<comments xmlns="http://schemas.openxmlformats.org/spreadsheetml/2006/main">
  <authors>
    <author>Andrew Deakin</author>
  </authors>
  <commentList>
    <comment ref="D14" authorId="0">
      <text>
        <r>
          <rPr>
            <b/>
            <sz val="8"/>
            <rFont val="Tahoma"/>
            <family val="2"/>
          </rPr>
          <t>Minimum = 
 - 1.2 mm for steel
 - 3mm for aluminium</t>
        </r>
      </text>
    </comment>
  </commentList>
</comments>
</file>

<file path=xl/comments8.xml><?xml version="1.0" encoding="utf-8"?>
<comments xmlns="http://schemas.openxmlformats.org/spreadsheetml/2006/main">
  <authors>
    <author>Andrew Deakin</author>
  </authors>
  <commentList>
    <comment ref="E16" authorId="0">
      <text>
        <r>
          <rPr>
            <b/>
            <sz val="8"/>
            <rFont val="Tahoma"/>
            <family val="2"/>
          </rPr>
          <t>Minimum = 
 - 1.2 mm for steel
 - 3mm for aluminium</t>
        </r>
      </text>
    </comment>
  </commentList>
</comments>
</file>

<file path=xl/comments9.xml><?xml version="1.0" encoding="utf-8"?>
<comments xmlns="http://schemas.openxmlformats.org/spreadsheetml/2006/main">
  <authors>
    <author>Andrew Deakin</author>
  </authors>
  <commentList>
    <comment ref="E16" authorId="0">
      <text>
        <r>
          <rPr>
            <b/>
            <sz val="8"/>
            <rFont val="Tahoma"/>
            <family val="2"/>
          </rPr>
          <t>Minimum = 
 - 1.2 mm for steel
 - 3mm for aluminium</t>
        </r>
      </text>
    </comment>
  </commentList>
</comments>
</file>

<file path=xl/sharedStrings.xml><?xml version="1.0" encoding="utf-8"?>
<sst xmlns="http://schemas.openxmlformats.org/spreadsheetml/2006/main" count="575" uniqueCount="217">
  <si>
    <t>EI</t>
  </si>
  <si>
    <t>Baseline</t>
  </si>
  <si>
    <t>Your Tube</t>
  </si>
  <si>
    <t>I, m^4</t>
  </si>
  <si>
    <t>OD, m</t>
  </si>
  <si>
    <t>UTS, N</t>
  </si>
  <si>
    <t>UTS, N as welded</t>
  </si>
  <si>
    <t>Steel</t>
  </si>
  <si>
    <t>UTS welded, Pa</t>
  </si>
  <si>
    <t>Yield strength, welded, Pa</t>
  </si>
  <si>
    <t>Yield strength, Pa</t>
  </si>
  <si>
    <t>UTS, Pa</t>
  </si>
  <si>
    <t>Aluminium 1</t>
  </si>
  <si>
    <t>Other 1</t>
  </si>
  <si>
    <t>Other 2</t>
  </si>
  <si>
    <t>Other 3</t>
  </si>
  <si>
    <t>Material name</t>
  </si>
  <si>
    <t>Aluminium</t>
  </si>
  <si>
    <t>Aluminium 2</t>
  </si>
  <si>
    <t>Material Property</t>
  </si>
  <si>
    <t>Material name /grade</t>
  </si>
  <si>
    <t>Youngs Modulus, E</t>
  </si>
  <si>
    <t>Your Composite</t>
  </si>
  <si>
    <t>Your Total</t>
  </si>
  <si>
    <t>NA</t>
  </si>
  <si>
    <t>Thickness of panel, mm</t>
  </si>
  <si>
    <t>Thickness of core, mm</t>
  </si>
  <si>
    <t>Thickness of skins, mm</t>
  </si>
  <si>
    <t>Panel height,mm</t>
  </si>
  <si>
    <t>Enter construction type</t>
  </si>
  <si>
    <t>Tubing only</t>
  </si>
  <si>
    <t>Composite only</t>
  </si>
  <si>
    <t>Tubes + composite</t>
  </si>
  <si>
    <t>Main Hoop Structural Equivalency - note, only steel may be used</t>
  </si>
  <si>
    <t>Material type</t>
  </si>
  <si>
    <t>Number of tubes</t>
  </si>
  <si>
    <t>Your Tubes Total</t>
  </si>
  <si>
    <t>Your Tube type 1</t>
  </si>
  <si>
    <t>Your Tube type 2</t>
  </si>
  <si>
    <t>Your Tube type 3</t>
  </si>
  <si>
    <t>Front Hoop Structural Equivalency</t>
  </si>
  <si>
    <t>Front Hoop Bracing</t>
  </si>
  <si>
    <t>Front Bulkhead Support Structure</t>
  </si>
  <si>
    <t>Front Bulkhead</t>
  </si>
  <si>
    <t>Material Data Sheet</t>
  </si>
  <si>
    <t>Main Hoop Bracing Supports</t>
  </si>
  <si>
    <t>Shoulder Harness Bar</t>
  </si>
  <si>
    <t>Tube shape</t>
  </si>
  <si>
    <t>Round</t>
  </si>
  <si>
    <t>Square</t>
  </si>
  <si>
    <t>Tubing Type</t>
  </si>
  <si>
    <t>Team Contact</t>
  </si>
  <si>
    <t>Email Address</t>
  </si>
  <si>
    <t>Faculty Advisor</t>
  </si>
  <si>
    <t>Is proof of equivalency for your design required for any of the rules?</t>
  </si>
  <si>
    <t>Baseline Material Used</t>
  </si>
  <si>
    <t>Alternative Material Used</t>
  </si>
  <si>
    <t>Rule No.</t>
  </si>
  <si>
    <t>Rule Description</t>
  </si>
  <si>
    <t>Design Description and/or Material Used</t>
  </si>
  <si>
    <t>Main Roll Hoop Tubing</t>
  </si>
  <si>
    <t>Front Roll Hoop Tubing</t>
  </si>
  <si>
    <t>Main Roll Hoop Bracing Tubing</t>
  </si>
  <si>
    <t>Front Hoop Bracing - Tube Frames</t>
  </si>
  <si>
    <t>Front Bulkhead - Tube Frames</t>
  </si>
  <si>
    <t>Front Bulkhead Support - Tube Frames</t>
  </si>
  <si>
    <t>Impact Attenuator Anti-Intrusion Plate</t>
  </si>
  <si>
    <t>Side Impact Structure - Tube Frames</t>
  </si>
  <si>
    <t>Attachment Checklist (make sure all are included in your report)</t>
  </si>
  <si>
    <t>P</t>
  </si>
  <si>
    <t>Receipt, letter of donation or proof for non-steel materials (composite, honeycomb, resin, etc)</t>
  </si>
  <si>
    <t>Properties for all non-steel materials</t>
  </si>
  <si>
    <t>Monocoque Laminate Test data and pictures</t>
  </si>
  <si>
    <t>Holes &gt;4mm drilled in any regulated tubing require proof of equivalency, include area and moment of inertia</t>
  </si>
  <si>
    <t>COMPLETE APPROPRIATE TABS TO PROVE EQUIVALENCY</t>
  </si>
  <si>
    <t>TECHNICAL COMMITTEE DECISION/COMMENTS</t>
  </si>
  <si>
    <t>Approved by</t>
  </si>
  <si>
    <t>Date</t>
  </si>
  <si>
    <t>NOTE: THIS FORM AND THE APPROVED COPY OF THE SUBMISSION MUST BE PRESENTED
AT TECHNICAL INSPECTION AT EVERY FORMULA SAE EVENT ENTERED</t>
  </si>
  <si>
    <t>Please attach pictures of the frame and/or monocoque in the table below for review during the SES process. Please colour code all tubes to show outer diameter and wall thickness. Three view drawings and isometric views of the structure (CAD, FEA models, etc) are acceptable. Note: The final decision about all designs will be made at technical inspection. Approval of an SES does not guarantee passing Technical Inspection.</t>
  </si>
  <si>
    <t>Area</t>
  </si>
  <si>
    <t>Yield</t>
  </si>
  <si>
    <t>UTS</t>
  </si>
  <si>
    <t>Yield as Welded</t>
  </si>
  <si>
    <t>UTS as Welded</t>
  </si>
  <si>
    <t>Max Bending Load at UTS</t>
  </si>
  <si>
    <t>Max deflection at max baseline load</t>
  </si>
  <si>
    <t>Energy absorbed during bending</t>
  </si>
  <si>
    <t>Tube type</t>
  </si>
  <si>
    <t>Tube 1</t>
  </si>
  <si>
    <t>Tube Material</t>
  </si>
  <si>
    <t>Outside Dimension</t>
  </si>
  <si>
    <t>Wall thickness</t>
  </si>
  <si>
    <t>Tube 2</t>
  </si>
  <si>
    <t>Tube 3</t>
  </si>
  <si>
    <t>Composite</t>
  </si>
  <si>
    <t>Material</t>
  </si>
  <si>
    <t>Panel Thickness</t>
  </si>
  <si>
    <t>Skin Tickness</t>
  </si>
  <si>
    <t>Panel Height</t>
  </si>
  <si>
    <t>If FEA is required for Composite structures then add this information below</t>
  </si>
  <si>
    <t>Main Hoop Bracing - Note: Only Steel may be used</t>
  </si>
  <si>
    <t>Tube and Laminate Equivalency</t>
  </si>
  <si>
    <t>N/A</t>
  </si>
  <si>
    <t>Main Hoop Bracing Support - Tube Frames</t>
  </si>
  <si>
    <t>Baseline design?</t>
  </si>
  <si>
    <t>Material Spreadsheet Code</t>
  </si>
  <si>
    <t>Wall, m</t>
  </si>
  <si>
    <t>Area, mm^2</t>
  </si>
  <si>
    <t>Yield tensile strength, N</t>
  </si>
  <si>
    <t>Yield tensile strength, N as welded</t>
  </si>
  <si>
    <t>Max load at mid span to give UTS for 1m long tube, N</t>
  </si>
  <si>
    <t>Max deflection at baseline load for 1m long tube, m</t>
  </si>
  <si>
    <t>Energy absorbed up to UTS, J</t>
  </si>
  <si>
    <t>Tube OD, mm</t>
  </si>
  <si>
    <t>Wall, mm</t>
  </si>
  <si>
    <t>Shoulder Harness Bar Equivalency</t>
  </si>
  <si>
    <t>Please use this sheet to include additional information required for your proof of equivalency that isn't covered by the standard forms e.g. material receipts. This tab may be copied if one page isn't sufficient.</t>
  </si>
  <si>
    <t>Your Tube + Insert</t>
  </si>
  <si>
    <t>Note - the calculations above take account of the "as welded condition" strength reduction</t>
  </si>
  <si>
    <t>Your Plate</t>
  </si>
  <si>
    <t>UTS shear, Pa</t>
  </si>
  <si>
    <t>Perimeter shear strength for 25mm dia punch, N</t>
  </si>
  <si>
    <t>If you have more than one type of insert please copy this tab</t>
  </si>
  <si>
    <t>Insert calculations or CAD screenshot proving tube + insert area and second moment</t>
  </si>
  <si>
    <t>of area below.  Use the "Additional Info" tab if more space is needed.</t>
  </si>
  <si>
    <t>The SES template has been created to simplify the process of proving structural equivalency.</t>
  </si>
  <si>
    <t xml:space="preserve">As downloaded the spreadsheet assumes a baseline steel chassis design. The majority of the cells in the spreadsheet are locked, you can only edit the cells shaded yellow. </t>
  </si>
  <si>
    <t>Cells shaded grey are dependant on the data entered in yellow cells, the formulae in these grey cells have been left visible so you can see how the results are calculated.</t>
  </si>
  <si>
    <t>The vast majority of the tabs can be accessed using the hyperlinks on the cover sheet. Note there are some that cannot such as the "additional info" and "welded tube insert" tabs. If you enable macros when opening the document "Ctrl+e" will always return you to the cover sheet.</t>
  </si>
  <si>
    <t>There have been a few questions about how to handle bent/two piece tubes in place of a single baseline tube. If properly triangulated then the reinforced bent/two piece tube will be stiffer and stronger than the baseline tube, so please ensure you include images of the tube(s) in the "Chassis Pics" tab for the SES assessor to review. You may add additional proof of equivalence to the "Additional Info" tab if you deem it necessary. You do not need to adjust the number of tubes in the relevant calculation tab.</t>
  </si>
  <si>
    <r>
      <t xml:space="preserve">Please see </t>
    </r>
    <r>
      <rPr>
        <sz val="10"/>
        <color indexed="12"/>
        <rFont val="Arial"/>
        <family val="2"/>
      </rPr>
      <t>"Structural Equivalency Spreadsheet Guide"</t>
    </r>
    <r>
      <rPr>
        <sz val="10"/>
        <rFont val="Arial"/>
        <family val="2"/>
      </rPr>
      <t xml:space="preserve"> on the Read_Me tab of the SES Workbook</t>
    </r>
  </si>
  <si>
    <t>Other 4</t>
  </si>
  <si>
    <t>Other 5</t>
  </si>
  <si>
    <t>Other 6</t>
  </si>
  <si>
    <t>Tube Shape</t>
  </si>
  <si>
    <t>Tube area, mm^2</t>
  </si>
  <si>
    <t>Insert area, mm^2</t>
  </si>
  <si>
    <t>Side Impact Structure</t>
  </si>
  <si>
    <t>T3.11</t>
  </si>
  <si>
    <t>T3.12</t>
  </si>
  <si>
    <t>T3.13</t>
  </si>
  <si>
    <t>T3.14</t>
  </si>
  <si>
    <t>T3.13.6</t>
  </si>
  <si>
    <t>T3.19</t>
  </si>
  <si>
    <t>T3.20</t>
  </si>
  <si>
    <t>T3.25</t>
  </si>
  <si>
    <t>T5.4</t>
  </si>
  <si>
    <t>T3.21.6</t>
  </si>
  <si>
    <t>Welded Tube Insert Equivalency - required for all mandated tubes per T3.4 with drilled holes &gt; 4mm dia.</t>
  </si>
  <si>
    <t>Angle of main and front hoops</t>
  </si>
  <si>
    <t>Angle of main hoop bracing</t>
  </si>
  <si>
    <t>Distance from top of front hoop to front hoop brace attachment</t>
  </si>
  <si>
    <t>Distance from top of main hoop to main hoop brace attachment</t>
  </si>
  <si>
    <t>Images must include dimensions/labels indicating the following:</t>
  </si>
  <si>
    <t>Outer diameter and wall thickness of all tubes</t>
  </si>
  <si>
    <t>Steel properties based on SAE 1010 and are given in Rule T3.4.1 Note 1.  Per rule T3.5 all steels are treated equally and are to use the above properties.</t>
  </si>
  <si>
    <t>Cutout Width</t>
  </si>
  <si>
    <t>Cutout Height</t>
  </si>
  <si>
    <t>Bulkhead Width</t>
  </si>
  <si>
    <t>Bulkhead Height</t>
  </si>
  <si>
    <t>Monocoque Bulkhead Dimensions</t>
  </si>
  <si>
    <t>Bulkhead Width, mm</t>
  </si>
  <si>
    <t>Bulkhead Height, mm</t>
  </si>
  <si>
    <t>Cutout Width, mm</t>
  </si>
  <si>
    <t>Cutout Height, mm</t>
  </si>
  <si>
    <t>b (m)</t>
  </si>
  <si>
    <t>h (m)</t>
  </si>
  <si>
    <t>Centroid (m)</t>
  </si>
  <si>
    <r>
      <t>A</t>
    </r>
    <r>
      <rPr>
        <vertAlign val="subscript"/>
        <sz val="10"/>
        <rFont val="Arial"/>
        <family val="2"/>
      </rPr>
      <t>1</t>
    </r>
    <r>
      <rPr>
        <sz val="10"/>
        <rFont val="Arial"/>
        <family val="2"/>
      </rPr>
      <t xml:space="preserve"> (m^2)</t>
    </r>
  </si>
  <si>
    <r>
      <t>A</t>
    </r>
    <r>
      <rPr>
        <vertAlign val="subscript"/>
        <sz val="10"/>
        <rFont val="Arial"/>
        <family val="2"/>
      </rPr>
      <t>2</t>
    </r>
    <r>
      <rPr>
        <sz val="10"/>
        <rFont val="Arial"/>
        <family val="2"/>
      </rPr>
      <t xml:space="preserve"> (m^2)</t>
    </r>
  </si>
  <si>
    <r>
      <t>A</t>
    </r>
    <r>
      <rPr>
        <vertAlign val="subscript"/>
        <sz val="10"/>
        <rFont val="Arial"/>
        <family val="2"/>
      </rPr>
      <t>3</t>
    </r>
    <r>
      <rPr>
        <sz val="10"/>
        <rFont val="Arial"/>
        <family val="2"/>
      </rPr>
      <t xml:space="preserve"> (m^2)</t>
    </r>
  </si>
  <si>
    <r>
      <t>A</t>
    </r>
    <r>
      <rPr>
        <vertAlign val="subscript"/>
        <sz val="10"/>
        <rFont val="Arial"/>
        <family val="2"/>
      </rPr>
      <t>4</t>
    </r>
    <r>
      <rPr>
        <sz val="10"/>
        <rFont val="Arial"/>
        <family val="2"/>
      </rPr>
      <t xml:space="preserve"> (m^2)</t>
    </r>
  </si>
  <si>
    <r>
      <t>Ic</t>
    </r>
    <r>
      <rPr>
        <vertAlign val="subscript"/>
        <sz val="10"/>
        <rFont val="Arial"/>
        <family val="2"/>
      </rPr>
      <t>1</t>
    </r>
    <r>
      <rPr>
        <sz val="10"/>
        <rFont val="Arial"/>
        <family val="2"/>
      </rPr>
      <t xml:space="preserve"> (m^4)</t>
    </r>
  </si>
  <si>
    <r>
      <t>Ic</t>
    </r>
    <r>
      <rPr>
        <vertAlign val="subscript"/>
        <sz val="10"/>
        <rFont val="Arial"/>
        <family val="2"/>
      </rPr>
      <t>2</t>
    </r>
    <r>
      <rPr>
        <sz val="10"/>
        <rFont val="Arial"/>
        <family val="2"/>
      </rPr>
      <t xml:space="preserve"> (m^4)</t>
    </r>
  </si>
  <si>
    <r>
      <t>Ic</t>
    </r>
    <r>
      <rPr>
        <vertAlign val="subscript"/>
        <sz val="10"/>
        <rFont val="Arial"/>
        <family val="2"/>
      </rPr>
      <t>3</t>
    </r>
    <r>
      <rPr>
        <sz val="10"/>
        <rFont val="Arial"/>
        <family val="2"/>
      </rPr>
      <t xml:space="preserve"> (m^4)</t>
    </r>
  </si>
  <si>
    <r>
      <t>Ic</t>
    </r>
    <r>
      <rPr>
        <vertAlign val="subscript"/>
        <sz val="10"/>
        <rFont val="Arial"/>
        <family val="2"/>
      </rPr>
      <t>4</t>
    </r>
    <r>
      <rPr>
        <sz val="10"/>
        <rFont val="Arial"/>
        <family val="2"/>
      </rPr>
      <t xml:space="preserve"> (m^4)</t>
    </r>
  </si>
  <si>
    <t>Bulkhead</t>
  </si>
  <si>
    <t>Front Bulkhead Support</t>
  </si>
  <si>
    <r>
      <t>Ic</t>
    </r>
    <r>
      <rPr>
        <vertAlign val="subscript"/>
        <sz val="10"/>
        <rFont val="Arial"/>
        <family val="2"/>
      </rPr>
      <t>12</t>
    </r>
    <r>
      <rPr>
        <sz val="10"/>
        <rFont val="Arial"/>
        <family val="2"/>
      </rPr>
      <t xml:space="preserve"> (m^4)</t>
    </r>
  </si>
  <si>
    <r>
      <t>Ic</t>
    </r>
    <r>
      <rPr>
        <vertAlign val="subscript"/>
        <sz val="10"/>
        <rFont val="Arial"/>
        <family val="2"/>
      </rPr>
      <t>34</t>
    </r>
    <r>
      <rPr>
        <sz val="10"/>
        <rFont val="Arial"/>
        <family val="2"/>
      </rPr>
      <t xml:space="preserve"> (m^4)</t>
    </r>
  </si>
  <si>
    <r>
      <t>E</t>
    </r>
    <r>
      <rPr>
        <vertAlign val="subscript"/>
        <sz val="10"/>
        <rFont val="Arial"/>
        <family val="2"/>
      </rPr>
      <t>34</t>
    </r>
  </si>
  <si>
    <r>
      <t>x</t>
    </r>
    <r>
      <rPr>
        <vertAlign val="subscript"/>
        <sz val="10"/>
        <rFont val="Arial"/>
        <family val="2"/>
      </rPr>
      <t>1</t>
    </r>
    <r>
      <rPr>
        <sz val="10"/>
        <rFont val="Arial"/>
        <family val="2"/>
      </rPr>
      <t xml:space="preserve"> (m)</t>
    </r>
  </si>
  <si>
    <r>
      <t>x</t>
    </r>
    <r>
      <rPr>
        <vertAlign val="subscript"/>
        <sz val="10"/>
        <rFont val="Arial"/>
        <family val="2"/>
      </rPr>
      <t xml:space="preserve">2 </t>
    </r>
    <r>
      <rPr>
        <sz val="10"/>
        <rFont val="Arial"/>
        <family val="2"/>
      </rPr>
      <t>(m)</t>
    </r>
  </si>
  <si>
    <r>
      <t>x</t>
    </r>
    <r>
      <rPr>
        <vertAlign val="subscript"/>
        <sz val="10"/>
        <rFont val="Arial"/>
        <family val="2"/>
      </rPr>
      <t xml:space="preserve">3 </t>
    </r>
    <r>
      <rPr>
        <sz val="10"/>
        <rFont val="Arial"/>
        <family val="2"/>
      </rPr>
      <t>(m)</t>
    </r>
  </si>
  <si>
    <r>
      <t>x</t>
    </r>
    <r>
      <rPr>
        <vertAlign val="subscript"/>
        <sz val="10"/>
        <rFont val="Arial"/>
        <family val="2"/>
      </rPr>
      <t xml:space="preserve">4 </t>
    </r>
    <r>
      <rPr>
        <sz val="10"/>
        <rFont val="Arial"/>
        <family val="2"/>
      </rPr>
      <t>(m)</t>
    </r>
  </si>
  <si>
    <t>FBHS</t>
  </si>
  <si>
    <t>BH</t>
  </si>
  <si>
    <r>
      <t>I</t>
    </r>
    <r>
      <rPr>
        <vertAlign val="subscript"/>
        <sz val="10"/>
        <rFont val="Arial"/>
        <family val="2"/>
      </rPr>
      <t xml:space="preserve">1 </t>
    </r>
    <r>
      <rPr>
        <sz val="10"/>
        <rFont val="Arial"/>
        <family val="2"/>
      </rPr>
      <t>(m^4)</t>
    </r>
  </si>
  <si>
    <r>
      <t>I</t>
    </r>
    <r>
      <rPr>
        <vertAlign val="subscript"/>
        <sz val="10"/>
        <rFont val="Arial"/>
        <family val="2"/>
      </rPr>
      <t xml:space="preserve">2 </t>
    </r>
    <r>
      <rPr>
        <sz val="10"/>
        <rFont val="Arial"/>
        <family val="2"/>
      </rPr>
      <t>(m^4)</t>
    </r>
  </si>
  <si>
    <r>
      <t>I</t>
    </r>
    <r>
      <rPr>
        <vertAlign val="subscript"/>
        <sz val="10"/>
        <rFont val="Arial"/>
        <family val="2"/>
      </rPr>
      <t>3</t>
    </r>
    <r>
      <rPr>
        <sz val="10"/>
        <rFont val="Arial"/>
        <family val="2"/>
      </rPr>
      <t xml:space="preserve"> (m^4)</t>
    </r>
  </si>
  <si>
    <r>
      <t>I</t>
    </r>
    <r>
      <rPr>
        <vertAlign val="subscript"/>
        <sz val="10"/>
        <rFont val="Arial"/>
        <family val="2"/>
      </rPr>
      <t>4</t>
    </r>
    <r>
      <rPr>
        <sz val="10"/>
        <rFont val="Arial"/>
        <family val="2"/>
      </rPr>
      <t xml:space="preserve"> (m^4)</t>
    </r>
  </si>
  <si>
    <t>Results from extra physical test required by T3.31.1 should be entered in the "Other x" materials column as required.</t>
  </si>
  <si>
    <t>The SES has been extensively tested, but if you think you have found a mistake in the document or have any questions on how to use the template please submit a question to the Supra SAE India Technical Committee in the usual manner.</t>
  </si>
  <si>
    <r>
      <t xml:space="preserve">For any queries related to SES, write to </t>
    </r>
    <r>
      <rPr>
        <b/>
        <u val="single"/>
        <sz val="10"/>
        <color indexed="56"/>
        <rFont val="Arial"/>
        <family val="2"/>
      </rPr>
      <t>technicalcommittee.suprasaeindia@saeindia.org</t>
    </r>
  </si>
  <si>
    <r>
      <t xml:space="preserve">This form must be completed and submitted by </t>
    </r>
    <r>
      <rPr>
        <b/>
        <sz val="10"/>
        <color indexed="8"/>
        <rFont val="Arial"/>
        <family val="2"/>
      </rPr>
      <t>all teams no later than the date specified in the Action Deadlines on specific event website</t>
    </r>
    <r>
      <rPr>
        <sz val="10"/>
        <color indexed="8"/>
        <rFont val="Arial"/>
        <family val="2"/>
      </rPr>
      <t xml:space="preserve">. The SUPRA SAE INDIA Technical Committee will review all submissions which deviate from the SUPRA SAE INDIA rules and reply with a decision about the requested deviation.  All requests will have a confirmation of receipt sent to the team. </t>
    </r>
    <r>
      <rPr>
        <b/>
        <sz val="10"/>
        <color indexed="8"/>
        <rFont val="Arial"/>
        <family val="2"/>
      </rPr>
      <t>Please submit to the person indicated in the Action Deadlines for each event.</t>
    </r>
  </si>
  <si>
    <t xml:space="preserve">Queries:  </t>
  </si>
  <si>
    <t>Deadline for Submission:</t>
  </si>
  <si>
    <t>Structural Equivalency Spreadsheets (SES) must be submitted electronically in Microsoft Excel Format (*.xls).</t>
  </si>
  <si>
    <r>
      <rPr>
        <b/>
        <sz val="10"/>
        <rFont val="Arial"/>
        <family val="2"/>
      </rPr>
      <t xml:space="preserve">File Name: </t>
    </r>
    <r>
      <rPr>
        <sz val="10"/>
        <rFont val="Arial"/>
        <family val="2"/>
      </rPr>
      <t>Team ID_Team Name_SES Submission</t>
    </r>
  </si>
  <si>
    <t>Any late submission after deadline will impose a penalty of 50 marks from overall score of team in event.</t>
  </si>
  <si>
    <r>
      <t xml:space="preserve">In the event that the SUPRA SAE INDIA Technical Committee requests additional information or calculations, </t>
    </r>
    <r>
      <rPr>
        <b/>
        <sz val="10"/>
        <color indexed="10"/>
        <rFont val="Arial"/>
        <family val="2"/>
      </rPr>
      <t>teams have one week from the date of request</t>
    </r>
    <r>
      <rPr>
        <sz val="10"/>
        <color indexed="10"/>
        <rFont val="Arial"/>
        <family val="2"/>
      </rPr>
      <t xml:space="preserve"> to submit the requested information.</t>
    </r>
  </si>
  <si>
    <t>Team ID No.</t>
  </si>
  <si>
    <t>Team Name</t>
  </si>
  <si>
    <t>SUPRA SAE INDIA 2017 STRUCTURAL EQUIVALENCY SPREADSHEET - CONTINUATION TAB</t>
  </si>
  <si>
    <r>
      <t xml:space="preserve">The SES must be submitted to </t>
    </r>
    <r>
      <rPr>
        <b/>
        <u val="single"/>
        <sz val="10"/>
        <rFont val="Arial"/>
        <family val="2"/>
      </rPr>
      <t>technicalcommittee.suprasaeindia@saeindia.org</t>
    </r>
  </si>
  <si>
    <t>Report will be evaluated during main event only. Teams has to validate their frame members by filling the details in the report</t>
  </si>
  <si>
    <t>Fill Any One Type</t>
  </si>
  <si>
    <t>Fill atleast one tube</t>
  </si>
  <si>
    <t>Fill Any One tube</t>
  </si>
  <si>
    <t>Fill only yellow boxes ad all results should be green. No red result should be there.</t>
  </si>
  <si>
    <t>Fill the correct specification of material used in vehicle as it will be checked during main event</t>
  </si>
  <si>
    <r>
      <t xml:space="preserve">Your email must have subject: </t>
    </r>
    <r>
      <rPr>
        <b/>
        <sz val="10"/>
        <rFont val="Arial"/>
        <family val="2"/>
      </rPr>
      <t>Query_SES_Supra SE India 2019</t>
    </r>
  </si>
  <si>
    <t>Supra SAE India 2019 Structural Equivalency Spreadsheet Guidance Notes</t>
  </si>
  <si>
    <t>SUPRA SAE INDIA 2019 STRUCTURAL EQUIVALENCY SPREADSHEET (SES) - COVER SHEET</t>
  </si>
  <si>
    <t>SUPRA SAE INDIA 2019 STRUCTURAL EQUIVALENCY SPREADSHEET - CHASSIS PICTURES</t>
  </si>
  <si>
    <r>
      <rPr>
        <b/>
        <sz val="10"/>
        <rFont val="Arial"/>
        <family val="2"/>
      </rPr>
      <t xml:space="preserve">Last Date of Submission: </t>
    </r>
    <r>
      <rPr>
        <sz val="10"/>
        <rFont val="Arial"/>
        <family val="2"/>
      </rPr>
      <t>Friday, 21st June, 2019 till 1700 hours</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</si>
</sst>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
    <numFmt numFmtId="192" formatCode="0.000"/>
    <numFmt numFmtId="193" formatCode="0.000E+00"/>
    <numFmt numFmtId="194" formatCode="0.0E+00"/>
    <numFmt numFmtId="195" formatCode="0.E+00"/>
    <numFmt numFmtId="196" formatCode="0.0.E+00"/>
    <numFmt numFmtId="197" formatCode="0.00.E+00"/>
    <numFmt numFmtId="198" formatCode="0.000.E+00"/>
    <numFmt numFmtId="199" formatCode="0.0000E+00"/>
    <numFmt numFmtId="200" formatCode="0.00000"/>
    <numFmt numFmtId="201" formatCode="0.000000"/>
    <numFmt numFmtId="202" formatCode="0.00000E+00"/>
    <numFmt numFmtId="203" formatCode="0.000000E+00"/>
    <numFmt numFmtId="204" formatCode="0.0000000E+00"/>
    <numFmt numFmtId="205" formatCode="0.00000000E+00"/>
    <numFmt numFmtId="206" formatCode="[$-809]dd\ mmmm\ yyyy"/>
    <numFmt numFmtId="207" formatCode="[$-F800]dddd\,\ mmmm\ dd\,\ yyyy"/>
    <numFmt numFmtId="208" formatCode="0.0000000"/>
    <numFmt numFmtId="209" formatCode="0.00000000"/>
    <numFmt numFmtId="210" formatCode="0.000000000"/>
    <numFmt numFmtId="211" formatCode="0.00000000000000000"/>
  </numFmts>
  <fonts count="43">
    <font>
      <sz val="10"/>
      <name val="Arial"/>
      <family val="0"/>
    </font>
    <font>
      <sz val="8"/>
      <name val="Arial"/>
      <family val="2"/>
    </font>
    <font>
      <b/>
      <sz val="10"/>
      <name val="Arial"/>
      <family val="2"/>
    </font>
    <font>
      <b/>
      <sz val="10"/>
      <color indexed="10"/>
      <name val="Arial"/>
      <family val="2"/>
    </font>
    <font>
      <u val="single"/>
      <sz val="10"/>
      <color indexed="12"/>
      <name val="Arial"/>
      <family val="2"/>
    </font>
    <font>
      <b/>
      <sz val="12"/>
      <name val="Arial"/>
      <family val="2"/>
    </font>
    <font>
      <b/>
      <sz val="14"/>
      <name val="Arial"/>
      <family val="2"/>
    </font>
    <font>
      <b/>
      <sz val="8"/>
      <name val="Tahoma"/>
      <family val="2"/>
    </font>
    <font>
      <b/>
      <sz val="10"/>
      <color indexed="8"/>
      <name val="Arial"/>
      <family val="2"/>
    </font>
    <font>
      <sz val="10"/>
      <color indexed="8"/>
      <name val="Arial"/>
      <family val="2"/>
    </font>
    <font>
      <sz val="10"/>
      <color indexed="10"/>
      <name val="Arial"/>
      <family val="2"/>
    </font>
    <font>
      <b/>
      <sz val="10"/>
      <name val="Wingdings 2"/>
      <family val="1"/>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9"/>
      <name val="Arial"/>
      <family val="2"/>
    </font>
    <font>
      <sz val="10"/>
      <color indexed="9"/>
      <name val="Arial"/>
      <family val="2"/>
    </font>
    <font>
      <sz val="9"/>
      <name val="Tahoma"/>
      <family val="2"/>
    </font>
    <font>
      <b/>
      <sz val="9"/>
      <name val="Tahoma"/>
      <family val="2"/>
    </font>
    <font>
      <vertAlign val="subscript"/>
      <sz val="10"/>
      <name val="Arial"/>
      <family val="2"/>
    </font>
    <font>
      <b/>
      <u val="single"/>
      <sz val="10"/>
      <color indexed="56"/>
      <name val="Arial"/>
      <family val="2"/>
    </font>
    <font>
      <sz val="14"/>
      <name val="Arial"/>
      <family val="2"/>
    </font>
    <font>
      <b/>
      <u val="single"/>
      <sz val="10"/>
      <name val="Arial"/>
      <family val="2"/>
    </font>
    <font>
      <b/>
      <sz val="12"/>
      <color indexed="10"/>
      <name val="Arial"/>
      <family val="2"/>
    </font>
    <font>
      <sz val="8"/>
      <name val="Tahoma"/>
      <family val="2"/>
    </font>
    <font>
      <sz val="10"/>
      <color theme="0"/>
      <name val="Arial"/>
      <family val="2"/>
    </font>
    <font>
      <b/>
      <sz val="12"/>
      <color rgb="FFFF0000"/>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lightUp"/>
    </fill>
    <fill>
      <patternFill patternType="lightDown"/>
    </fill>
    <fill>
      <patternFill patternType="solid">
        <fgColor theme="0" tint="-0.24993999302387238"/>
        <bgColor indexed="64"/>
      </patternFill>
    </fill>
    <fill>
      <patternFill patternType="solid">
        <fgColor rgb="FF92D05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0" fontId="0" fillId="0" borderId="10" xfId="0" applyBorder="1" applyAlignment="1">
      <alignment/>
    </xf>
    <xf numFmtId="0" fontId="0" fillId="0" borderId="0" xfId="0" applyBorder="1" applyAlignment="1">
      <alignment/>
    </xf>
    <xf numFmtId="186" fontId="0" fillId="0" borderId="10" xfId="0" applyNumberFormat="1" applyBorder="1" applyAlignment="1">
      <alignment/>
    </xf>
    <xf numFmtId="0" fontId="0" fillId="24" borderId="10" xfId="0" applyFont="1" applyFill="1" applyBorder="1" applyAlignment="1" applyProtection="1">
      <alignment/>
      <protection locked="0"/>
    </xf>
    <xf numFmtId="0" fontId="2" fillId="0" borderId="0" xfId="0" applyFont="1" applyAlignment="1">
      <alignment horizontal="center"/>
    </xf>
    <xf numFmtId="0" fontId="0" fillId="0" borderId="0" xfId="0" applyBorder="1" applyAlignment="1">
      <alignment/>
    </xf>
    <xf numFmtId="0" fontId="9" fillId="0" borderId="11" xfId="0" applyFont="1" applyBorder="1" applyAlignment="1">
      <alignment/>
    </xf>
    <xf numFmtId="0" fontId="0" fillId="0" borderId="12" xfId="0" applyBorder="1" applyAlignment="1">
      <alignment/>
    </xf>
    <xf numFmtId="0" fontId="2" fillId="0" borderId="0" xfId="0" applyFont="1" applyAlignment="1">
      <alignment/>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Border="1" applyAlignment="1">
      <alignment horizontal="left"/>
    </xf>
    <xf numFmtId="0" fontId="3" fillId="0" borderId="0" xfId="0" applyFont="1" applyAlignment="1">
      <alignment horizontal="center" wrapText="1"/>
    </xf>
    <xf numFmtId="2" fontId="0" fillId="0" borderId="10" xfId="0" applyNumberFormat="1" applyBorder="1" applyAlignment="1">
      <alignment/>
    </xf>
    <xf numFmtId="0" fontId="0" fillId="0" borderId="13" xfId="0" applyBorder="1" applyAlignment="1">
      <alignment/>
    </xf>
    <xf numFmtId="1" fontId="0" fillId="0" borderId="10" xfId="0" applyNumberFormat="1" applyBorder="1" applyAlignment="1">
      <alignment horizontal="center"/>
    </xf>
    <xf numFmtId="0" fontId="0" fillId="0" borderId="10" xfId="0" applyBorder="1" applyAlignment="1">
      <alignment horizontal="center"/>
    </xf>
    <xf numFmtId="0" fontId="0" fillId="25" borderId="10" xfId="0" applyFill="1" applyBorder="1" applyAlignment="1">
      <alignment/>
    </xf>
    <xf numFmtId="186" fontId="0" fillId="25" borderId="10" xfId="0" applyNumberFormat="1" applyFill="1" applyBorder="1" applyAlignment="1">
      <alignment/>
    </xf>
    <xf numFmtId="2" fontId="0" fillId="25" borderId="10" xfId="0" applyNumberFormat="1" applyFill="1" applyBorder="1" applyAlignment="1">
      <alignment/>
    </xf>
    <xf numFmtId="0" fontId="0" fillId="0" borderId="10" xfId="0" applyBorder="1" applyAlignment="1" quotePrefix="1">
      <alignment horizontal="center"/>
    </xf>
    <xf numFmtId="1" fontId="0" fillId="0" borderId="0" xfId="0" applyNumberFormat="1" applyAlignment="1">
      <alignment/>
    </xf>
    <xf numFmtId="0" fontId="0" fillId="0" borderId="10" xfId="0" applyBorder="1" applyAlignment="1" quotePrefix="1">
      <alignment/>
    </xf>
    <xf numFmtId="1" fontId="0" fillId="0" borderId="10" xfId="0" applyNumberFormat="1" applyBorder="1" applyAlignment="1">
      <alignment/>
    </xf>
    <xf numFmtId="1" fontId="0" fillId="25" borderId="10" xfId="0" applyNumberFormat="1" applyFill="1" applyBorder="1" applyAlignment="1">
      <alignment/>
    </xf>
    <xf numFmtId="0" fontId="0" fillId="0" borderId="14" xfId="0" applyBorder="1" applyAlignment="1">
      <alignment horizontal="center"/>
    </xf>
    <xf numFmtId="2" fontId="0" fillId="0" borderId="14" xfId="0" applyNumberFormat="1" applyBorder="1" applyAlignment="1">
      <alignment/>
    </xf>
    <xf numFmtId="186" fontId="0" fillId="0" borderId="14" xfId="0" applyNumberFormat="1" applyBorder="1" applyAlignment="1">
      <alignment/>
    </xf>
    <xf numFmtId="2" fontId="0" fillId="0" borderId="14" xfId="0" applyNumberFormat="1" applyFont="1" applyBorder="1" applyAlignment="1">
      <alignment/>
    </xf>
    <xf numFmtId="1" fontId="0" fillId="0" borderId="14" xfId="0" applyNumberFormat="1" applyBorder="1" applyAlignment="1">
      <alignment/>
    </xf>
    <xf numFmtId="0" fontId="0" fillId="24" borderId="10" xfId="0" applyFill="1" applyBorder="1" applyAlignment="1" applyProtection="1">
      <alignment/>
      <protection locked="0"/>
    </xf>
    <xf numFmtId="11" fontId="0" fillId="24" borderId="10" xfId="0" applyNumberFormat="1" applyFill="1" applyBorder="1" applyAlignment="1" applyProtection="1">
      <alignment/>
      <protection locked="0"/>
    </xf>
    <xf numFmtId="0" fontId="0" fillId="24" borderId="11" xfId="0" applyFill="1" applyBorder="1" applyAlignment="1" applyProtection="1">
      <alignment/>
      <protection locked="0"/>
    </xf>
    <xf numFmtId="0" fontId="0" fillId="24" borderId="12" xfId="0" applyFill="1" applyBorder="1" applyAlignment="1" applyProtection="1">
      <alignment/>
      <protection locked="0"/>
    </xf>
    <xf numFmtId="0" fontId="0" fillId="24" borderId="13" xfId="0" applyFill="1" applyBorder="1" applyAlignment="1" applyProtection="1">
      <alignment/>
      <protection locked="0"/>
    </xf>
    <xf numFmtId="0" fontId="0" fillId="24" borderId="15" xfId="0" applyFill="1" applyBorder="1" applyAlignment="1" applyProtection="1">
      <alignment/>
      <protection locked="0"/>
    </xf>
    <xf numFmtId="0" fontId="0" fillId="24" borderId="0" xfId="0" applyFill="1" applyBorder="1" applyAlignment="1" applyProtection="1">
      <alignment/>
      <protection locked="0"/>
    </xf>
    <xf numFmtId="0" fontId="0" fillId="24" borderId="16" xfId="0" applyFill="1" applyBorder="1" applyAlignment="1" applyProtection="1">
      <alignment/>
      <protection locked="0"/>
    </xf>
    <xf numFmtId="0" fontId="0" fillId="24" borderId="17" xfId="0" applyFill="1" applyBorder="1" applyAlignment="1" applyProtection="1">
      <alignment/>
      <protection locked="0"/>
    </xf>
    <xf numFmtId="0" fontId="0" fillId="24" borderId="18" xfId="0" applyFill="1" applyBorder="1" applyAlignment="1" applyProtection="1">
      <alignment/>
      <protection locked="0"/>
    </xf>
    <xf numFmtId="0" fontId="0" fillId="24" borderId="19" xfId="0" applyFill="1" applyBorder="1" applyAlignment="1" applyProtection="1">
      <alignment/>
      <protection locked="0"/>
    </xf>
    <xf numFmtId="0" fontId="0" fillId="20" borderId="10" xfId="0" applyFill="1" applyBorder="1" applyAlignment="1" applyProtection="1">
      <alignment/>
      <protection/>
    </xf>
    <xf numFmtId="0" fontId="0" fillId="20" borderId="10" xfId="0" applyFont="1" applyFill="1" applyBorder="1" applyAlignment="1" applyProtection="1">
      <alignment/>
      <protection/>
    </xf>
    <xf numFmtId="11" fontId="0" fillId="20" borderId="10" xfId="0" applyNumberFormat="1" applyFill="1" applyBorder="1" applyAlignment="1" applyProtection="1">
      <alignment/>
      <protection/>
    </xf>
    <xf numFmtId="186" fontId="0" fillId="20" borderId="10" xfId="0" applyNumberFormat="1" applyFill="1" applyBorder="1" applyAlignment="1" applyProtection="1">
      <alignment/>
      <protection/>
    </xf>
    <xf numFmtId="0" fontId="0" fillId="24" borderId="15" xfId="0" applyFill="1" applyBorder="1" applyAlignment="1" applyProtection="1">
      <alignment/>
      <protection locked="0"/>
    </xf>
    <xf numFmtId="0" fontId="0" fillId="24" borderId="18" xfId="0" applyFill="1" applyBorder="1" applyAlignment="1" applyProtection="1">
      <alignment/>
      <protection locked="0"/>
    </xf>
    <xf numFmtId="0" fontId="0" fillId="24" borderId="17" xfId="0" applyFill="1" applyBorder="1" applyAlignment="1" applyProtection="1">
      <alignment/>
      <protection locked="0"/>
    </xf>
    <xf numFmtId="0" fontId="0" fillId="24" borderId="20" xfId="0" applyFill="1" applyBorder="1" applyAlignment="1" applyProtection="1">
      <alignment/>
      <protection locked="0"/>
    </xf>
    <xf numFmtId="186" fontId="0" fillId="0" borderId="10" xfId="0" applyNumberFormat="1" applyBorder="1" applyAlignment="1" applyProtection="1">
      <alignment/>
      <protection/>
    </xf>
    <xf numFmtId="0" fontId="5" fillId="0" borderId="0" xfId="0" applyFont="1" applyAlignment="1" applyProtection="1">
      <alignment/>
      <protection/>
    </xf>
    <xf numFmtId="0" fontId="0" fillId="0" borderId="0" xfId="0" applyAlignment="1" applyProtection="1">
      <alignment/>
      <protection/>
    </xf>
    <xf numFmtId="0" fontId="2" fillId="0" borderId="10" xfId="0" applyFont="1" applyBorder="1" applyAlignment="1" applyProtection="1">
      <alignment/>
      <protection/>
    </xf>
    <xf numFmtId="0" fontId="0" fillId="0" borderId="10" xfId="0" applyFont="1" applyBorder="1" applyAlignment="1" applyProtection="1">
      <alignment/>
      <protection/>
    </xf>
    <xf numFmtId="0" fontId="0" fillId="0" borderId="10" xfId="0" applyBorder="1" applyAlignment="1" applyProtection="1">
      <alignment/>
      <protection/>
    </xf>
    <xf numFmtId="11" fontId="0" fillId="0" borderId="0" xfId="0" applyNumberFormat="1" applyAlignment="1" applyProtection="1">
      <alignment/>
      <protection/>
    </xf>
    <xf numFmtId="2" fontId="0" fillId="0" borderId="0" xfId="0" applyNumberFormat="1" applyAlignment="1" applyProtection="1">
      <alignment/>
      <protection/>
    </xf>
    <xf numFmtId="186" fontId="0" fillId="0" borderId="10" xfId="0" applyNumberFormat="1" applyBorder="1" applyAlignment="1" applyProtection="1">
      <alignment horizontal="center"/>
      <protection/>
    </xf>
    <xf numFmtId="1" fontId="0" fillId="0" borderId="0" xfId="0" applyNumberFormat="1" applyFill="1" applyAlignment="1" applyProtection="1">
      <alignment horizontal="center"/>
      <protection/>
    </xf>
    <xf numFmtId="0" fontId="6" fillId="0" borderId="0" xfId="0" applyFont="1" applyAlignment="1" applyProtection="1">
      <alignment/>
      <protection/>
    </xf>
    <xf numFmtId="0" fontId="2" fillId="20" borderId="10" xfId="0" applyFont="1" applyFill="1" applyBorder="1" applyAlignment="1" applyProtection="1">
      <alignment/>
      <protection/>
    </xf>
    <xf numFmtId="0" fontId="0" fillId="20" borderId="10" xfId="0" applyFill="1" applyBorder="1" applyAlignment="1" applyProtection="1">
      <alignment horizontal="center"/>
      <protection/>
    </xf>
    <xf numFmtId="0" fontId="31" fillId="0" borderId="0" xfId="0" applyFont="1" applyAlignment="1" applyProtection="1">
      <alignment/>
      <protection/>
    </xf>
    <xf numFmtId="0" fontId="0" fillId="24" borderId="0" xfId="0" applyFill="1" applyBorder="1" applyAlignment="1" applyProtection="1">
      <alignment/>
      <protection locked="0"/>
    </xf>
    <xf numFmtId="11" fontId="0" fillId="0" borderId="21" xfId="0" applyNumberFormat="1" applyFill="1" applyBorder="1" applyAlignment="1" applyProtection="1">
      <alignment/>
      <protection/>
    </xf>
    <xf numFmtId="0" fontId="2" fillId="0" borderId="10" xfId="0" applyFont="1" applyBorder="1" applyAlignment="1" applyProtection="1">
      <alignment wrapText="1"/>
      <protection/>
    </xf>
    <xf numFmtId="0" fontId="0" fillId="0" borderId="0" xfId="0" applyAlignment="1" applyProtection="1">
      <alignment wrapText="1"/>
      <protection/>
    </xf>
    <xf numFmtId="0" fontId="0" fillId="0" borderId="0" xfId="0" applyFill="1" applyBorder="1" applyAlignment="1" applyProtection="1">
      <alignment/>
      <protection/>
    </xf>
    <xf numFmtId="0" fontId="0" fillId="0" borderId="10" xfId="0" applyBorder="1" applyAlignment="1" applyProtection="1">
      <alignment wrapText="1"/>
      <protection/>
    </xf>
    <xf numFmtId="0" fontId="2" fillId="0" borderId="0" xfId="0" applyFont="1" applyFill="1" applyBorder="1" applyAlignment="1" applyProtection="1">
      <alignment/>
      <protection/>
    </xf>
    <xf numFmtId="186" fontId="0" fillId="24" borderId="10" xfId="0" applyNumberFormat="1" applyFill="1" applyBorder="1" applyAlignment="1" applyProtection="1">
      <alignment/>
      <protection locked="0"/>
    </xf>
    <xf numFmtId="0" fontId="0" fillId="0" borderId="16" xfId="0" applyBorder="1"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protection/>
    </xf>
    <xf numFmtId="0" fontId="0" fillId="0" borderId="22" xfId="0" applyBorder="1" applyAlignment="1" applyProtection="1">
      <alignment/>
      <protection/>
    </xf>
    <xf numFmtId="0" fontId="0" fillId="20" borderId="23" xfId="0" applyFill="1" applyBorder="1" applyAlignment="1" applyProtection="1">
      <alignment horizontal="right"/>
      <protection/>
    </xf>
    <xf numFmtId="0" fontId="0" fillId="0" borderId="21" xfId="0" applyBorder="1" applyAlignment="1" applyProtection="1">
      <alignment/>
      <protection/>
    </xf>
    <xf numFmtId="11" fontId="0" fillId="0" borderId="0" xfId="0" applyNumberFormat="1" applyBorder="1" applyAlignment="1" applyProtection="1">
      <alignment/>
      <protection/>
    </xf>
    <xf numFmtId="11" fontId="0" fillId="0" borderId="21" xfId="0" applyNumberFormat="1" applyBorder="1" applyAlignment="1" applyProtection="1">
      <alignment/>
      <protection/>
    </xf>
    <xf numFmtId="0" fontId="0" fillId="20" borderId="20" xfId="0" applyFill="1" applyBorder="1" applyAlignment="1" applyProtection="1">
      <alignment/>
      <protection/>
    </xf>
    <xf numFmtId="0" fontId="0" fillId="0" borderId="14" xfId="0" applyBorder="1" applyAlignment="1" applyProtection="1">
      <alignment/>
      <protection/>
    </xf>
    <xf numFmtId="0" fontId="0" fillId="20" borderId="10" xfId="0" applyFill="1" applyBorder="1" applyAlignment="1" applyProtection="1">
      <alignment horizontal="right"/>
      <protection/>
    </xf>
    <xf numFmtId="11" fontId="0" fillId="20" borderId="10" xfId="0" applyNumberFormat="1" applyFill="1" applyBorder="1" applyAlignment="1" applyProtection="1">
      <alignment horizontal="right"/>
      <protection/>
    </xf>
    <xf numFmtId="186" fontId="0" fillId="0" borderId="0" xfId="0" applyNumberFormat="1" applyBorder="1" applyAlignment="1" applyProtection="1">
      <alignment/>
      <protection/>
    </xf>
    <xf numFmtId="0" fontId="0" fillId="24" borderId="23" xfId="0" applyFill="1" applyBorder="1" applyAlignment="1" applyProtection="1">
      <alignment/>
      <protection locked="0"/>
    </xf>
    <xf numFmtId="0" fontId="2" fillId="0" borderId="20" xfId="0" applyFont="1" applyBorder="1" applyAlignment="1" applyProtection="1">
      <alignment/>
      <protection/>
    </xf>
    <xf numFmtId="0" fontId="2" fillId="0" borderId="24" xfId="0" applyFont="1" applyBorder="1" applyAlignment="1" applyProtection="1">
      <alignment wrapText="1"/>
      <protection/>
    </xf>
    <xf numFmtId="0" fontId="0" fillId="0" borderId="15"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horizontal="right"/>
      <protection/>
    </xf>
    <xf numFmtId="0" fontId="0" fillId="0" borderId="18" xfId="0" applyBorder="1" applyAlignment="1" applyProtection="1">
      <alignment/>
      <protection/>
    </xf>
    <xf numFmtId="0" fontId="0" fillId="0" borderId="17" xfId="0" applyBorder="1" applyAlignment="1" applyProtection="1">
      <alignment/>
      <protection/>
    </xf>
    <xf numFmtId="0" fontId="0" fillId="0" borderId="19" xfId="0" applyBorder="1" applyAlignment="1" applyProtection="1">
      <alignment/>
      <protection/>
    </xf>
    <xf numFmtId="186" fontId="0" fillId="0" borderId="21" xfId="0" applyNumberFormat="1" applyBorder="1" applyAlignment="1" applyProtection="1">
      <alignment/>
      <protection/>
    </xf>
    <xf numFmtId="0" fontId="2" fillId="0" borderId="0" xfId="0" applyFont="1" applyAlignment="1" applyProtection="1">
      <alignment/>
      <protection/>
    </xf>
    <xf numFmtId="186" fontId="31" fillId="0" borderId="12" xfId="0" applyNumberFormat="1" applyFont="1" applyFill="1" applyBorder="1" applyAlignment="1" applyProtection="1">
      <alignment horizontal="center"/>
      <protection/>
    </xf>
    <xf numFmtId="0" fontId="2" fillId="0" borderId="20" xfId="0" applyFont="1" applyBorder="1" applyAlignment="1" applyProtection="1">
      <alignment wrapText="1"/>
      <protection/>
    </xf>
    <xf numFmtId="0" fontId="0" fillId="0" borderId="20" xfId="0" applyBorder="1" applyAlignment="1" applyProtection="1">
      <alignment horizontal="right"/>
      <protection/>
    </xf>
    <xf numFmtId="0" fontId="0" fillId="24" borderId="11" xfId="0" applyFill="1" applyBorder="1" applyAlignment="1" applyProtection="1">
      <alignment vertical="top" wrapText="1"/>
      <protection locked="0"/>
    </xf>
    <xf numFmtId="0" fontId="0" fillId="24" borderId="12" xfId="0" applyFill="1" applyBorder="1" applyAlignment="1" applyProtection="1">
      <alignment vertical="top" wrapText="1"/>
      <protection locked="0"/>
    </xf>
    <xf numFmtId="0" fontId="0" fillId="24" borderId="13" xfId="0" applyFill="1" applyBorder="1" applyAlignment="1" applyProtection="1">
      <alignment vertical="top" wrapText="1"/>
      <protection locked="0"/>
    </xf>
    <xf numFmtId="0" fontId="0" fillId="24" borderId="15" xfId="0" applyFill="1" applyBorder="1" applyAlignment="1" applyProtection="1">
      <alignment vertical="top" wrapText="1"/>
      <protection locked="0"/>
    </xf>
    <xf numFmtId="0" fontId="0" fillId="24" borderId="0" xfId="0" applyFill="1" applyBorder="1" applyAlignment="1" applyProtection="1">
      <alignment vertical="top" wrapText="1"/>
      <protection locked="0"/>
    </xf>
    <xf numFmtId="0" fontId="0" fillId="24" borderId="16" xfId="0" applyFill="1" applyBorder="1" applyAlignment="1" applyProtection="1">
      <alignment vertical="top" wrapText="1"/>
      <protection locked="0"/>
    </xf>
    <xf numFmtId="0" fontId="0" fillId="24" borderId="18" xfId="0" applyFill="1" applyBorder="1" applyAlignment="1" applyProtection="1">
      <alignment vertical="top" wrapText="1"/>
      <protection locked="0"/>
    </xf>
    <xf numFmtId="0" fontId="0" fillId="24" borderId="17" xfId="0" applyFill="1" applyBorder="1" applyAlignment="1" applyProtection="1">
      <alignment vertical="top" wrapText="1"/>
      <protection locked="0"/>
    </xf>
    <xf numFmtId="0" fontId="0" fillId="24" borderId="19" xfId="0" applyFill="1" applyBorder="1" applyAlignment="1" applyProtection="1">
      <alignment vertical="top" wrapText="1"/>
      <protection locked="0"/>
    </xf>
    <xf numFmtId="0" fontId="31" fillId="0" borderId="11" xfId="0" applyFont="1" applyBorder="1" applyAlignment="1" applyProtection="1">
      <alignment horizontal="center"/>
      <protection/>
    </xf>
    <xf numFmtId="0" fontId="31" fillId="0" borderId="12" xfId="0" applyFont="1" applyBorder="1" applyAlignment="1" applyProtection="1">
      <alignment horizontal="center"/>
      <protection/>
    </xf>
    <xf numFmtId="0" fontId="31" fillId="0" borderId="15" xfId="0" applyFont="1" applyBorder="1" applyAlignment="1" applyProtection="1">
      <alignment horizontal="center"/>
      <protection/>
    </xf>
    <xf numFmtId="0" fontId="31" fillId="0" borderId="0" xfId="0" applyFont="1" applyBorder="1" applyAlignment="1" applyProtection="1">
      <alignment horizontal="center"/>
      <protection/>
    </xf>
    <xf numFmtId="0" fontId="31" fillId="0" borderId="16" xfId="0" applyFont="1" applyBorder="1" applyAlignment="1" applyProtection="1">
      <alignment horizontal="center"/>
      <protection/>
    </xf>
    <xf numFmtId="0" fontId="0" fillId="24" borderId="0" xfId="0" applyFont="1" applyFill="1" applyBorder="1" applyAlignment="1" applyProtection="1">
      <alignment vertical="top" wrapText="1"/>
      <protection locked="0"/>
    </xf>
    <xf numFmtId="0" fontId="0" fillId="0" borderId="0" xfId="0" applyFill="1" applyAlignment="1" applyProtection="1">
      <alignment/>
      <protection locked="0"/>
    </xf>
    <xf numFmtId="11" fontId="0" fillId="0" borderId="0" xfId="0" applyNumberFormat="1" applyFill="1" applyAlignment="1" applyProtection="1">
      <alignment/>
      <protection locked="0"/>
    </xf>
    <xf numFmtId="0" fontId="2" fillId="0" borderId="0" xfId="0" applyFont="1" applyFill="1" applyAlignment="1" applyProtection="1">
      <alignment/>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5" fillId="0" borderId="0" xfId="57" applyFont="1" applyProtection="1">
      <alignment/>
      <protection/>
    </xf>
    <xf numFmtId="0" fontId="0" fillId="0" borderId="0" xfId="57" applyProtection="1">
      <alignment/>
      <protection/>
    </xf>
    <xf numFmtId="0" fontId="0" fillId="0" borderId="0" xfId="57" applyBorder="1" applyProtection="1">
      <alignment/>
      <protection/>
    </xf>
    <xf numFmtId="0" fontId="2" fillId="0" borderId="10" xfId="57" applyFont="1" applyBorder="1" applyProtection="1">
      <alignment/>
      <protection/>
    </xf>
    <xf numFmtId="0" fontId="2" fillId="0" borderId="0" xfId="57" applyFont="1" applyBorder="1" applyProtection="1">
      <alignment/>
      <protection/>
    </xf>
    <xf numFmtId="0" fontId="2" fillId="0" borderId="20" xfId="57" applyFont="1" applyBorder="1" applyProtection="1">
      <alignment/>
      <protection/>
    </xf>
    <xf numFmtId="0" fontId="0" fillId="0" borderId="10" xfId="57" applyFont="1" applyBorder="1" applyProtection="1">
      <alignment/>
      <protection/>
    </xf>
    <xf numFmtId="0" fontId="0" fillId="20" borderId="10" xfId="57" applyFill="1" applyBorder="1" applyProtection="1">
      <alignment/>
      <protection/>
    </xf>
    <xf numFmtId="0" fontId="0" fillId="24" borderId="10" xfId="57" applyFill="1" applyBorder="1" applyProtection="1">
      <alignment/>
      <protection locked="0"/>
    </xf>
    <xf numFmtId="0" fontId="0" fillId="24" borderId="20" xfId="57" applyFill="1" applyBorder="1" applyProtection="1">
      <alignment/>
      <protection locked="0"/>
    </xf>
    <xf numFmtId="0" fontId="0" fillId="0" borderId="21" xfId="57" applyBorder="1" applyProtection="1">
      <alignment/>
      <protection/>
    </xf>
    <xf numFmtId="0" fontId="0" fillId="0" borderId="10" xfId="57" applyBorder="1" applyProtection="1">
      <alignment/>
      <protection/>
    </xf>
    <xf numFmtId="11" fontId="0" fillId="0" borderId="0" xfId="57" applyNumberFormat="1" applyProtection="1">
      <alignment/>
      <protection/>
    </xf>
    <xf numFmtId="0" fontId="0" fillId="0" borderId="10" xfId="57" applyFill="1" applyBorder="1" applyProtection="1">
      <alignment/>
      <protection/>
    </xf>
    <xf numFmtId="0" fontId="0" fillId="0" borderId="0" xfId="57" applyNumberFormat="1" applyProtection="1">
      <alignment/>
      <protection/>
    </xf>
    <xf numFmtId="2" fontId="0" fillId="0" borderId="0" xfId="57" applyNumberFormat="1" applyProtection="1">
      <alignment/>
      <protection/>
    </xf>
    <xf numFmtId="186" fontId="0" fillId="20" borderId="10" xfId="0" applyNumberFormat="1" applyFont="1" applyFill="1" applyBorder="1" applyAlignment="1" applyProtection="1">
      <alignment/>
      <protection/>
    </xf>
    <xf numFmtId="11" fontId="40" fillId="0" borderId="0" xfId="0" applyNumberFormat="1" applyFont="1" applyAlignment="1" applyProtection="1">
      <alignment/>
      <protection/>
    </xf>
    <xf numFmtId="0" fontId="40" fillId="0" borderId="0" xfId="0" applyFont="1" applyBorder="1" applyAlignment="1" applyProtection="1">
      <alignment/>
      <protection/>
    </xf>
    <xf numFmtId="186" fontId="0" fillId="20" borderId="10" xfId="0" applyNumberFormat="1" applyFont="1" applyFill="1" applyBorder="1" applyAlignment="1" applyProtection="1">
      <alignment horizontal="right"/>
      <protection/>
    </xf>
    <xf numFmtId="0" fontId="0" fillId="0" borderId="0" xfId="0" applyFill="1" applyAlignment="1" applyProtection="1">
      <alignment wrapText="1"/>
      <protection locked="0"/>
    </xf>
    <xf numFmtId="11" fontId="0" fillId="0" borderId="0" xfId="0" applyNumberFormat="1" applyFill="1" applyAlignment="1" applyProtection="1">
      <alignment wrapText="1"/>
      <protection locked="0"/>
    </xf>
    <xf numFmtId="2" fontId="0" fillId="0" borderId="0" xfId="0" applyNumberFormat="1" applyFill="1" applyAlignment="1" applyProtection="1">
      <alignment/>
      <protection locked="0"/>
    </xf>
    <xf numFmtId="0" fontId="2" fillId="0" borderId="11" xfId="0" applyFont="1"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ont="1" applyFill="1" applyBorder="1" applyAlignment="1" applyProtection="1">
      <alignment/>
      <protection/>
    </xf>
    <xf numFmtId="0" fontId="0" fillId="0" borderId="0" xfId="0" applyFill="1" applyBorder="1" applyAlignment="1" applyProtection="1">
      <alignment/>
      <protection/>
    </xf>
    <xf numFmtId="0" fontId="0" fillId="0" borderId="16" xfId="0" applyFill="1" applyBorder="1" applyAlignment="1" applyProtection="1">
      <alignment/>
      <protection/>
    </xf>
    <xf numFmtId="0" fontId="0" fillId="0" borderId="18" xfId="0" applyFont="1" applyFill="1" applyBorder="1" applyAlignment="1" applyProtection="1">
      <alignment/>
      <protection/>
    </xf>
    <xf numFmtId="0" fontId="0" fillId="0" borderId="17" xfId="0" applyFill="1" applyBorder="1" applyAlignment="1" applyProtection="1">
      <alignment/>
      <protection/>
    </xf>
    <xf numFmtId="0" fontId="0" fillId="0" borderId="19" xfId="0" applyFill="1" applyBorder="1" applyAlignment="1" applyProtection="1">
      <alignment/>
      <protection/>
    </xf>
    <xf numFmtId="0" fontId="0" fillId="0" borderId="11" xfId="0" applyBorder="1" applyAlignment="1" applyProtection="1">
      <alignment/>
      <protection/>
    </xf>
    <xf numFmtId="0" fontId="0" fillId="26" borderId="11" xfId="0" applyFill="1" applyBorder="1" applyAlignment="1" applyProtection="1">
      <alignment/>
      <protection/>
    </xf>
    <xf numFmtId="0" fontId="0" fillId="26" borderId="12" xfId="0" applyFill="1" applyBorder="1" applyAlignment="1" applyProtection="1">
      <alignment/>
      <protection/>
    </xf>
    <xf numFmtId="0" fontId="0" fillId="26" borderId="13" xfId="0" applyFill="1" applyBorder="1" applyAlignment="1" applyProtection="1">
      <alignment/>
      <protection/>
    </xf>
    <xf numFmtId="0" fontId="0" fillId="26" borderId="15" xfId="0" applyFill="1" applyBorder="1" applyAlignment="1" applyProtection="1">
      <alignment/>
      <protection/>
    </xf>
    <xf numFmtId="0" fontId="0" fillId="26" borderId="18" xfId="0" applyFill="1" applyBorder="1" applyAlignment="1" applyProtection="1">
      <alignment/>
      <protection/>
    </xf>
    <xf numFmtId="0" fontId="0" fillId="26" borderId="17" xfId="0" applyFill="1" applyBorder="1" applyAlignment="1" applyProtection="1">
      <alignment/>
      <protection/>
    </xf>
    <xf numFmtId="11" fontId="0" fillId="26" borderId="17" xfId="0" applyNumberFormat="1" applyFill="1" applyBorder="1" applyAlignment="1" applyProtection="1">
      <alignment/>
      <protection/>
    </xf>
    <xf numFmtId="0" fontId="0" fillId="26" borderId="19" xfId="0" applyFill="1" applyBorder="1" applyAlignment="1" applyProtection="1">
      <alignment/>
      <protection/>
    </xf>
    <xf numFmtId="0" fontId="0" fillId="26" borderId="16" xfId="0" applyFill="1" applyBorder="1" applyAlignment="1" applyProtection="1">
      <alignment/>
      <protection/>
    </xf>
    <xf numFmtId="0" fontId="0" fillId="0" borderId="18" xfId="0" applyFont="1" applyBorder="1" applyAlignment="1" applyProtection="1">
      <alignment horizontal="center" vertical="center"/>
      <protection/>
    </xf>
    <xf numFmtId="0" fontId="0" fillId="0" borderId="0" xfId="0" applyFont="1" applyAlignment="1" applyProtection="1">
      <alignment horizontal="right"/>
      <protection/>
    </xf>
    <xf numFmtId="0" fontId="2" fillId="0" borderId="0" xfId="0" applyFont="1" applyFill="1" applyBorder="1" applyAlignment="1" applyProtection="1">
      <alignment vertical="center"/>
      <protection/>
    </xf>
    <xf numFmtId="0" fontId="0" fillId="27" borderId="20" xfId="0" applyFill="1" applyBorder="1" applyAlignment="1" applyProtection="1">
      <alignment/>
      <protection/>
    </xf>
    <xf numFmtId="0" fontId="0" fillId="0" borderId="0" xfId="0" applyAlignment="1" applyProtection="1">
      <alignment horizontal="right"/>
      <protection/>
    </xf>
    <xf numFmtId="11" fontId="0" fillId="0" borderId="0" xfId="0" applyNumberFormat="1" applyAlignment="1" applyProtection="1">
      <alignment horizontal="right"/>
      <protection/>
    </xf>
    <xf numFmtId="191" fontId="0" fillId="0" borderId="0" xfId="0" applyNumberFormat="1" applyAlignment="1" applyProtection="1">
      <alignment/>
      <protection/>
    </xf>
    <xf numFmtId="0" fontId="0" fillId="0" borderId="13" xfId="0" applyBorder="1" applyAlignment="1" applyProtection="1">
      <alignment/>
      <protection/>
    </xf>
    <xf numFmtId="0" fontId="0" fillId="0" borderId="24" xfId="0" applyBorder="1" applyAlignment="1" applyProtection="1">
      <alignment/>
      <protection/>
    </xf>
    <xf numFmtId="0" fontId="0" fillId="0" borderId="12" xfId="0" applyBorder="1" applyAlignment="1" applyProtection="1">
      <alignment/>
      <protection/>
    </xf>
    <xf numFmtId="0" fontId="0" fillId="0" borderId="21" xfId="0" applyBorder="1" applyAlignment="1" applyProtection="1">
      <alignment horizontal="center"/>
      <protection/>
    </xf>
    <xf numFmtId="0" fontId="0" fillId="0" borderId="20" xfId="0" applyBorder="1" applyAlignment="1" applyProtection="1">
      <alignment horizontal="center"/>
      <protection/>
    </xf>
    <xf numFmtId="193" fontId="0" fillId="0" borderId="0" xfId="0" applyNumberFormat="1" applyAlignment="1" applyProtection="1">
      <alignment/>
      <protection/>
    </xf>
    <xf numFmtId="0" fontId="2" fillId="0" borderId="0" xfId="0" applyFont="1" applyAlignment="1" applyProtection="1">
      <alignment horizontal="center"/>
      <protection/>
    </xf>
    <xf numFmtId="0" fontId="41" fillId="0" borderId="0" xfId="0" applyFont="1" applyAlignment="1">
      <alignment/>
    </xf>
    <xf numFmtId="0" fontId="0" fillId="0" borderId="0" xfId="0" applyFont="1" applyBorder="1" applyAlignment="1">
      <alignment/>
    </xf>
    <xf numFmtId="0" fontId="0" fillId="24" borderId="16" xfId="0" applyFill="1" applyBorder="1" applyAlignment="1" applyProtection="1">
      <alignment/>
      <protection locked="0"/>
    </xf>
    <xf numFmtId="0" fontId="0" fillId="24" borderId="19" xfId="0" applyFill="1" applyBorder="1" applyAlignment="1" applyProtection="1">
      <alignment/>
      <protection locked="0"/>
    </xf>
    <xf numFmtId="0" fontId="6" fillId="0" borderId="0" xfId="0" applyFont="1" applyAlignment="1">
      <alignment/>
    </xf>
    <xf numFmtId="0" fontId="36" fillId="0" borderId="0" xfId="0" applyFont="1" applyAlignment="1">
      <alignment/>
    </xf>
    <xf numFmtId="0" fontId="0" fillId="0" borderId="0" xfId="0" applyAlignment="1">
      <alignment horizontal="left"/>
    </xf>
    <xf numFmtId="0" fontId="0" fillId="0" borderId="0" xfId="0" applyAlignment="1">
      <alignment horizontal="left" wrapText="1"/>
    </xf>
    <xf numFmtId="0" fontId="0" fillId="24" borderId="23" xfId="0" applyFill="1" applyBorder="1" applyAlignment="1" applyProtection="1">
      <alignment horizontal="center"/>
      <protection locked="0"/>
    </xf>
    <xf numFmtId="0" fontId="0" fillId="24" borderId="20" xfId="0" applyFill="1" applyBorder="1" applyAlignment="1" applyProtection="1">
      <alignment horizontal="center"/>
      <protection locked="0"/>
    </xf>
    <xf numFmtId="0" fontId="0" fillId="24" borderId="24" xfId="0" applyFill="1" applyBorder="1" applyAlignment="1" applyProtection="1">
      <alignment horizontal="center"/>
      <protection locked="0"/>
    </xf>
    <xf numFmtId="0" fontId="0" fillId="0" borderId="12" xfId="0" applyBorder="1" applyAlignment="1">
      <alignment horizontal="center" vertical="top" textRotation="90"/>
    </xf>
    <xf numFmtId="0" fontId="0" fillId="0" borderId="0" xfId="0" applyAlignment="1">
      <alignment horizontal="center" vertical="top" textRotation="90"/>
    </xf>
    <xf numFmtId="0" fontId="0" fillId="24" borderId="10" xfId="0" applyFill="1" applyBorder="1" applyAlignment="1" applyProtection="1">
      <alignment horizontal="left"/>
      <protection locked="0"/>
    </xf>
    <xf numFmtId="0" fontId="0" fillId="20" borderId="23" xfId="0" applyFill="1" applyBorder="1" applyAlignment="1">
      <alignment horizontal="center"/>
    </xf>
    <xf numFmtId="0" fontId="0" fillId="20" borderId="24" xfId="0" applyFill="1" applyBorder="1" applyAlignment="1">
      <alignment horizontal="center"/>
    </xf>
    <xf numFmtId="0" fontId="0" fillId="28" borderId="10" xfId="0" applyFill="1" applyBorder="1" applyAlignment="1">
      <alignment horizontal="center"/>
    </xf>
    <xf numFmtId="0" fontId="4" fillId="0" borderId="10" xfId="53" applyBorder="1" applyAlignment="1" applyProtection="1">
      <alignment horizontal="left" wrapText="1"/>
      <protection/>
    </xf>
    <xf numFmtId="0" fontId="0" fillId="20" borderId="10" xfId="0" applyFill="1" applyBorder="1" applyAlignment="1">
      <alignment horizontal="center"/>
    </xf>
    <xf numFmtId="0" fontId="0" fillId="20" borderId="10" xfId="0" applyFill="1" applyBorder="1" applyAlignment="1">
      <alignment/>
    </xf>
    <xf numFmtId="0" fontId="4" fillId="0" borderId="0" xfId="53" applyAlignment="1" applyProtection="1">
      <alignment/>
      <protection/>
    </xf>
    <xf numFmtId="0" fontId="2" fillId="20" borderId="23" xfId="0" applyFont="1" applyFill="1" applyBorder="1" applyAlignment="1" applyProtection="1">
      <alignment horizontal="left"/>
      <protection/>
    </xf>
    <xf numFmtId="0" fontId="2" fillId="20" borderId="20" xfId="0" applyFont="1" applyFill="1" applyBorder="1" applyAlignment="1" applyProtection="1">
      <alignment horizontal="left"/>
      <protection/>
    </xf>
    <xf numFmtId="0" fontId="2" fillId="20" borderId="24" xfId="0" applyFont="1" applyFill="1" applyBorder="1" applyAlignment="1" applyProtection="1">
      <alignment horizontal="left"/>
      <protection/>
    </xf>
    <xf numFmtId="0" fontId="0" fillId="0" borderId="11" xfId="0" applyBorder="1" applyAlignment="1">
      <alignment horizontal="center" wrapText="1"/>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0" xfId="0" applyFont="1" applyAlignment="1">
      <alignment horizontal="center"/>
    </xf>
    <xf numFmtId="0" fontId="0" fillId="24" borderId="23" xfId="0" applyFont="1" applyFill="1" applyBorder="1" applyAlignment="1" applyProtection="1">
      <alignment horizontal="center"/>
      <protection locked="0"/>
    </xf>
    <xf numFmtId="0" fontId="9" fillId="0" borderId="0" xfId="0" applyFont="1" applyAlignment="1">
      <alignment horizontal="left" vertical="center" wrapText="1"/>
    </xf>
    <xf numFmtId="0" fontId="10" fillId="0" borderId="0" xfId="0" applyFont="1" applyAlignment="1">
      <alignment horizontal="left" wrapText="1"/>
    </xf>
    <xf numFmtId="0" fontId="0" fillId="0" borderId="17" xfId="0" applyBorder="1" applyAlignment="1">
      <alignment/>
    </xf>
    <xf numFmtId="0" fontId="0" fillId="0" borderId="17" xfId="0" applyBorder="1" applyAlignment="1">
      <alignment horizontal="left"/>
    </xf>
    <xf numFmtId="0" fontId="0" fillId="20" borderId="14" xfId="0" applyFill="1" applyBorder="1" applyAlignment="1">
      <alignment horizontal="center"/>
    </xf>
    <xf numFmtId="0" fontId="0" fillId="20" borderId="14" xfId="0" applyFill="1" applyBorder="1" applyAlignment="1">
      <alignment/>
    </xf>
    <xf numFmtId="0" fontId="0" fillId="0" borderId="12" xfId="0" applyBorder="1" applyAlignment="1">
      <alignment horizont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0" fillId="0" borderId="17" xfId="0" applyBorder="1" applyAlignment="1">
      <alignment horizontal="center" wrapText="1"/>
    </xf>
    <xf numFmtId="0" fontId="0" fillId="0" borderId="10" xfId="0" applyBorder="1" applyAlignment="1">
      <alignment horizontal="center" vertical="center"/>
    </xf>
    <xf numFmtId="0" fontId="0" fillId="28" borderId="14" xfId="0" applyFill="1" applyBorder="1" applyAlignment="1">
      <alignment horizontal="center"/>
    </xf>
    <xf numFmtId="0" fontId="0" fillId="20" borderId="10" xfId="0" applyFill="1" applyBorder="1" applyAlignment="1" applyProtection="1">
      <alignment horizontal="center"/>
      <protection/>
    </xf>
    <xf numFmtId="0" fontId="0" fillId="20" borderId="10" xfId="0" applyFill="1" applyBorder="1" applyAlignment="1" applyProtection="1">
      <alignment/>
      <protection/>
    </xf>
    <xf numFmtId="0" fontId="1" fillId="0" borderId="10" xfId="0" applyFont="1" applyBorder="1" applyAlignment="1">
      <alignment horizontal="center" textRotation="90" wrapText="1"/>
    </xf>
    <xf numFmtId="0" fontId="0" fillId="0" borderId="10" xfId="0" applyBorder="1" applyAlignment="1">
      <alignment horizontal="center" textRotation="90" wrapText="1"/>
    </xf>
    <xf numFmtId="0" fontId="4" fillId="0" borderId="14" xfId="53" applyBorder="1" applyAlignment="1" applyProtection="1">
      <alignment horizontal="left" wrapText="1"/>
      <protection/>
    </xf>
    <xf numFmtId="0" fontId="0" fillId="0" borderId="23"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0" xfId="0" applyFont="1" applyAlignment="1">
      <alignment horizontal="center"/>
    </xf>
    <xf numFmtId="0" fontId="3" fillId="0" borderId="0" xfId="0" applyFont="1" applyAlignment="1">
      <alignment horizontal="center"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2" xfId="0" applyBorder="1" applyAlignment="1">
      <alignment horizontal="center" textRotation="90" wrapText="1"/>
    </xf>
    <xf numFmtId="0" fontId="0" fillId="0" borderId="21" xfId="0" applyBorder="1" applyAlignment="1">
      <alignment horizontal="center" textRotation="90" wrapText="1"/>
    </xf>
    <xf numFmtId="0" fontId="0" fillId="0" borderId="14" xfId="0" applyBorder="1" applyAlignment="1">
      <alignment horizontal="center" textRotation="90" wrapText="1"/>
    </xf>
    <xf numFmtId="0" fontId="0" fillId="0" borderId="10" xfId="0" applyBorder="1" applyAlignment="1">
      <alignment horizontal="center"/>
    </xf>
    <xf numFmtId="0" fontId="1" fillId="0" borderId="22" xfId="0" applyFont="1" applyBorder="1" applyAlignment="1">
      <alignment horizontal="center" textRotation="90" wrapText="1"/>
    </xf>
    <xf numFmtId="0" fontId="1" fillId="0" borderId="21" xfId="0" applyFont="1" applyBorder="1" applyAlignment="1">
      <alignment horizontal="center" textRotation="90" wrapText="1"/>
    </xf>
    <xf numFmtId="0" fontId="1" fillId="0" borderId="14" xfId="0" applyFont="1" applyBorder="1" applyAlignment="1">
      <alignment horizontal="center" textRotation="90"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0" fillId="0" borderId="17" xfId="0" applyBorder="1" applyAlignment="1">
      <alignment horizontal="left" wrapText="1"/>
    </xf>
    <xf numFmtId="0" fontId="0" fillId="0" borderId="17" xfId="0" applyFill="1" applyBorder="1" applyAlignment="1" applyProtection="1">
      <alignment horizontal="center"/>
      <protection/>
    </xf>
    <xf numFmtId="0" fontId="2" fillId="29" borderId="11" xfId="0" applyFont="1" applyFill="1" applyBorder="1" applyAlignment="1" applyProtection="1">
      <alignment horizontal="center"/>
      <protection/>
    </xf>
    <xf numFmtId="0" fontId="2" fillId="29" borderId="12" xfId="0" applyFont="1" applyFill="1" applyBorder="1" applyAlignment="1" applyProtection="1">
      <alignment horizontal="center"/>
      <protection/>
    </xf>
    <xf numFmtId="0" fontId="2" fillId="29" borderId="13" xfId="0" applyFont="1" applyFill="1" applyBorder="1" applyAlignment="1" applyProtection="1">
      <alignment horizontal="center"/>
      <protection/>
    </xf>
    <xf numFmtId="0" fontId="2" fillId="29" borderId="15" xfId="0" applyFont="1" applyFill="1" applyBorder="1" applyAlignment="1" applyProtection="1">
      <alignment horizontal="center"/>
      <protection/>
    </xf>
    <xf numFmtId="0" fontId="2" fillId="29" borderId="0" xfId="0" applyFont="1" applyFill="1" applyBorder="1" applyAlignment="1" applyProtection="1">
      <alignment horizontal="center"/>
      <protection/>
    </xf>
    <xf numFmtId="0" fontId="2" fillId="29" borderId="16" xfId="0" applyFont="1" applyFill="1" applyBorder="1" applyAlignment="1" applyProtection="1">
      <alignment horizontal="center"/>
      <protection/>
    </xf>
    <xf numFmtId="0" fontId="2" fillId="0" borderId="10" xfId="0" applyFont="1" applyBorder="1" applyAlignment="1" applyProtection="1">
      <alignment horizontal="center"/>
      <protection/>
    </xf>
    <xf numFmtId="0" fontId="3" fillId="24" borderId="23" xfId="0" applyFont="1" applyFill="1" applyBorder="1" applyAlignment="1" applyProtection="1">
      <alignment horizontal="left"/>
      <protection locked="0"/>
    </xf>
    <xf numFmtId="0" fontId="3" fillId="24" borderId="24" xfId="0" applyFont="1" applyFill="1" applyBorder="1" applyAlignment="1" applyProtection="1">
      <alignment horizontal="left"/>
      <protection locked="0"/>
    </xf>
    <xf numFmtId="0" fontId="2" fillId="0" borderId="23" xfId="57" applyFont="1" applyBorder="1" applyAlignment="1" applyProtection="1">
      <alignment horizontal="right"/>
      <protection/>
    </xf>
    <xf numFmtId="0" fontId="2" fillId="0" borderId="20" xfId="57" applyFont="1" applyBorder="1" applyAlignment="1" applyProtection="1">
      <alignment horizontal="right"/>
      <protection/>
    </xf>
    <xf numFmtId="0" fontId="2" fillId="0" borderId="24" xfId="57" applyFont="1" applyBorder="1" applyAlignment="1" applyProtection="1">
      <alignment horizontal="right"/>
      <protection/>
    </xf>
    <xf numFmtId="0" fontId="3" fillId="24" borderId="23" xfId="57" applyFont="1" applyFill="1" applyBorder="1" applyAlignment="1" applyProtection="1">
      <alignment horizontal="left"/>
      <protection locked="0"/>
    </xf>
    <xf numFmtId="0" fontId="3" fillId="24" borderId="24" xfId="57" applyFont="1" applyFill="1" applyBorder="1" applyAlignment="1" applyProtection="1">
      <alignment horizontal="left"/>
      <protection locked="0"/>
    </xf>
    <xf numFmtId="0" fontId="0" fillId="29" borderId="23" xfId="0" applyFill="1" applyBorder="1" applyAlignment="1" applyProtection="1">
      <alignment horizontal="center"/>
      <protection locked="0"/>
    </xf>
    <xf numFmtId="0" fontId="0" fillId="29" borderId="20" xfId="0" applyFill="1" applyBorder="1" applyAlignment="1" applyProtection="1">
      <alignment horizontal="center"/>
      <protection locked="0"/>
    </xf>
    <xf numFmtId="0" fontId="0" fillId="29" borderId="24" xfId="0" applyFill="1" applyBorder="1" applyAlignment="1" applyProtection="1">
      <alignment horizontal="center"/>
      <protection locked="0"/>
    </xf>
    <xf numFmtId="0" fontId="0" fillId="0" borderId="0" xfId="0" applyFont="1" applyAlignment="1" applyProtection="1">
      <alignment horizontal="center"/>
      <protection/>
    </xf>
    <xf numFmtId="0" fontId="0" fillId="29" borderId="23" xfId="0" applyFont="1" applyFill="1" applyBorder="1" applyAlignment="1" applyProtection="1">
      <alignment horizontal="center"/>
      <protection locked="0"/>
    </xf>
    <xf numFmtId="0" fontId="0" fillId="29" borderId="20" xfId="0" applyFont="1" applyFill="1" applyBorder="1" applyAlignment="1" applyProtection="1">
      <alignment horizontal="center"/>
      <protection locked="0"/>
    </xf>
    <xf numFmtId="0" fontId="0" fillId="29" borderId="24" xfId="0" applyFont="1" applyFill="1" applyBorder="1" applyAlignment="1" applyProtection="1">
      <alignment horizontal="center"/>
      <protection locked="0"/>
    </xf>
    <xf numFmtId="0" fontId="0" fillId="0" borderId="13" xfId="0" applyFont="1" applyBorder="1" applyAlignment="1" applyProtection="1">
      <alignment horizontal="center" vertical="center" textRotation="180"/>
      <protection/>
    </xf>
    <xf numFmtId="0" fontId="0" fillId="0" borderId="16" xfId="0" applyFont="1" applyBorder="1" applyAlignment="1" applyProtection="1">
      <alignment horizontal="center" vertical="center" textRotation="180"/>
      <protection/>
    </xf>
    <xf numFmtId="0" fontId="0" fillId="0" borderId="19" xfId="0" applyFont="1" applyBorder="1" applyAlignment="1" applyProtection="1">
      <alignment horizontal="center" vertical="center" textRotation="180"/>
      <protection/>
    </xf>
    <xf numFmtId="0" fontId="0" fillId="0" borderId="12" xfId="0" applyFont="1" applyBorder="1" applyAlignment="1" applyProtection="1">
      <alignment horizontal="center"/>
      <protection/>
    </xf>
    <xf numFmtId="0" fontId="0" fillId="0" borderId="15" xfId="0" applyFont="1" applyBorder="1" applyAlignment="1" applyProtection="1">
      <alignment horizontal="center" vertical="center" textRotation="180"/>
      <protection/>
    </xf>
    <xf numFmtId="0" fontId="2" fillId="0" borderId="15"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23" xfId="0" applyFont="1" applyBorder="1" applyAlignment="1" applyProtection="1">
      <alignment horizontal="right"/>
      <protection/>
    </xf>
    <xf numFmtId="0" fontId="2" fillId="0" borderId="20" xfId="0" applyFont="1" applyBorder="1" applyAlignment="1" applyProtection="1">
      <alignment horizontal="right"/>
      <protection/>
    </xf>
    <xf numFmtId="0" fontId="2" fillId="0" borderId="24" xfId="0" applyFont="1" applyBorder="1" applyAlignment="1" applyProtection="1">
      <alignment horizontal="right"/>
      <protection/>
    </xf>
    <xf numFmtId="0" fontId="3" fillId="24" borderId="23" xfId="0" applyFont="1" applyFill="1" applyBorder="1" applyAlignment="1" applyProtection="1">
      <alignment horizontal="center"/>
      <protection locked="0"/>
    </xf>
    <xf numFmtId="0" fontId="3" fillId="24" borderId="24" xfId="0" applyFont="1" applyFill="1" applyBorder="1" applyAlignment="1" applyProtection="1">
      <alignment horizontal="center"/>
      <protection locked="0"/>
    </xf>
    <xf numFmtId="0" fontId="0" fillId="20" borderId="23" xfId="0" applyFill="1" applyBorder="1" applyAlignment="1" applyProtection="1">
      <alignment horizontal="center"/>
      <protection/>
    </xf>
    <xf numFmtId="0" fontId="0" fillId="20" borderId="24" xfId="0"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0">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rgb="FFFF990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rgb="FFFF990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9"/>
        </patternFill>
      </fill>
    </dxf>
    <dxf>
      <fill>
        <patternFill>
          <bgColor indexed="10"/>
        </patternFill>
      </fill>
    </dxf>
    <dxf>
      <fill>
        <patternFill>
          <bgColor indexed="11"/>
        </patternFill>
      </fill>
    </dxf>
    <dxf>
      <fill>
        <patternFill patternType="lightUp"/>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57150</xdr:rowOff>
    </xdr:from>
    <xdr:to>
      <xdr:col>38</xdr:col>
      <xdr:colOff>0</xdr:colOff>
      <xdr:row>18</xdr:row>
      <xdr:rowOff>57150</xdr:rowOff>
    </xdr:to>
    <xdr:sp>
      <xdr:nvSpPr>
        <xdr:cNvPr id="1" name="Straight Connector 6"/>
        <xdr:cNvSpPr>
          <a:spLocks/>
        </xdr:cNvSpPr>
      </xdr:nvSpPr>
      <xdr:spPr>
        <a:xfrm>
          <a:off x="6334125" y="2971800"/>
          <a:ext cx="6334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15</xdr:row>
      <xdr:rowOff>47625</xdr:rowOff>
    </xdr:from>
    <xdr:to>
      <xdr:col>23</xdr:col>
      <xdr:colOff>9525</xdr:colOff>
      <xdr:row>15</xdr:row>
      <xdr:rowOff>47625</xdr:rowOff>
    </xdr:to>
    <xdr:sp>
      <xdr:nvSpPr>
        <xdr:cNvPr id="1" name="Straight Arrow Connector 2"/>
        <xdr:cNvSpPr>
          <a:spLocks/>
        </xdr:cNvSpPr>
      </xdr:nvSpPr>
      <xdr:spPr>
        <a:xfrm>
          <a:off x="13325475" y="2819400"/>
          <a:ext cx="10572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19050</xdr:colOff>
      <xdr:row>15</xdr:row>
      <xdr:rowOff>47625</xdr:rowOff>
    </xdr:from>
    <xdr:to>
      <xdr:col>26</xdr:col>
      <xdr:colOff>0</xdr:colOff>
      <xdr:row>15</xdr:row>
      <xdr:rowOff>47625</xdr:rowOff>
    </xdr:to>
    <xdr:sp>
      <xdr:nvSpPr>
        <xdr:cNvPr id="2" name="Straight Arrow Connector 3"/>
        <xdr:cNvSpPr>
          <a:spLocks/>
        </xdr:cNvSpPr>
      </xdr:nvSpPr>
      <xdr:spPr>
        <a:xfrm>
          <a:off x="14392275" y="2819400"/>
          <a:ext cx="18097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13</xdr:row>
      <xdr:rowOff>38100</xdr:rowOff>
    </xdr:from>
    <xdr:to>
      <xdr:col>20</xdr:col>
      <xdr:colOff>0</xdr:colOff>
      <xdr:row>15</xdr:row>
      <xdr:rowOff>133350</xdr:rowOff>
    </xdr:to>
    <xdr:sp>
      <xdr:nvSpPr>
        <xdr:cNvPr id="3" name="Straight Connector 8"/>
        <xdr:cNvSpPr>
          <a:spLocks/>
        </xdr:cNvSpPr>
      </xdr:nvSpPr>
      <xdr:spPr>
        <a:xfrm>
          <a:off x="13325475" y="2409825"/>
          <a:ext cx="0" cy="495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9525</xdr:colOff>
      <xdr:row>13</xdr:row>
      <xdr:rowOff>38100</xdr:rowOff>
    </xdr:from>
    <xdr:to>
      <xdr:col>23</xdr:col>
      <xdr:colOff>9525</xdr:colOff>
      <xdr:row>15</xdr:row>
      <xdr:rowOff>133350</xdr:rowOff>
    </xdr:to>
    <xdr:sp>
      <xdr:nvSpPr>
        <xdr:cNvPr id="4" name="Straight Connector 9"/>
        <xdr:cNvSpPr>
          <a:spLocks/>
        </xdr:cNvSpPr>
      </xdr:nvSpPr>
      <xdr:spPr>
        <a:xfrm>
          <a:off x="14382750" y="2409825"/>
          <a:ext cx="0" cy="495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xdr:row>
      <xdr:rowOff>28575</xdr:rowOff>
    </xdr:from>
    <xdr:to>
      <xdr:col>26</xdr:col>
      <xdr:colOff>0</xdr:colOff>
      <xdr:row>15</xdr:row>
      <xdr:rowOff>104775</xdr:rowOff>
    </xdr:to>
    <xdr:sp>
      <xdr:nvSpPr>
        <xdr:cNvPr id="5" name="Straight Connector 10"/>
        <xdr:cNvSpPr>
          <a:spLocks/>
        </xdr:cNvSpPr>
      </xdr:nvSpPr>
      <xdr:spPr>
        <a:xfrm>
          <a:off x="16202025" y="1600200"/>
          <a:ext cx="0" cy="1276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P23"/>
  <sheetViews>
    <sheetView tabSelected="1" zoomScalePageLayoutView="0" workbookViewId="0" topLeftCell="A1">
      <selection activeCell="C17" sqref="C17"/>
    </sheetView>
  </sheetViews>
  <sheetFormatPr defaultColWidth="9.140625" defaultRowHeight="12.75"/>
  <cols>
    <col min="2" max="2" width="11.00390625" style="0" bestFit="1" customWidth="1"/>
  </cols>
  <sheetData>
    <row r="1" spans="1:7" ht="18">
      <c r="A1" s="182" t="s">
        <v>213</v>
      </c>
      <c r="B1" s="183"/>
      <c r="C1" s="183"/>
      <c r="D1" s="183"/>
      <c r="E1" s="183"/>
      <c r="F1" s="183"/>
      <c r="G1" s="183"/>
    </row>
    <row r="3" spans="1:15" ht="12.75">
      <c r="A3" s="184" t="s">
        <v>126</v>
      </c>
      <c r="B3" s="184"/>
      <c r="C3" s="184"/>
      <c r="D3" s="184"/>
      <c r="E3" s="184"/>
      <c r="F3" s="184"/>
      <c r="G3" s="184"/>
      <c r="H3" s="184"/>
      <c r="I3" s="184"/>
      <c r="J3" s="184"/>
      <c r="K3" s="184"/>
      <c r="L3" s="184"/>
      <c r="M3" s="184"/>
      <c r="N3" s="184"/>
      <c r="O3" s="184"/>
    </row>
    <row r="4" spans="1:16" ht="12.75">
      <c r="A4" s="184" t="s">
        <v>127</v>
      </c>
      <c r="B4" s="184"/>
      <c r="C4" s="184"/>
      <c r="D4" s="184"/>
      <c r="E4" s="184"/>
      <c r="F4" s="184"/>
      <c r="G4" s="184"/>
      <c r="H4" s="184"/>
      <c r="I4" s="184"/>
      <c r="J4" s="184"/>
      <c r="K4" s="184"/>
      <c r="L4" s="184"/>
      <c r="M4" s="184"/>
      <c r="N4" s="184"/>
      <c r="O4" s="184"/>
      <c r="P4" s="184"/>
    </row>
    <row r="5" spans="1:16" ht="12.75">
      <c r="A5" s="184" t="s">
        <v>128</v>
      </c>
      <c r="B5" s="184"/>
      <c r="C5" s="184"/>
      <c r="D5" s="184"/>
      <c r="E5" s="184"/>
      <c r="F5" s="184"/>
      <c r="G5" s="184"/>
      <c r="H5" s="184"/>
      <c r="I5" s="184"/>
      <c r="J5" s="184"/>
      <c r="K5" s="184"/>
      <c r="L5" s="184"/>
      <c r="M5" s="184"/>
      <c r="N5" s="184"/>
      <c r="O5" s="184"/>
      <c r="P5" s="184"/>
    </row>
    <row r="6" spans="1:16" ht="25.5" customHeight="1">
      <c r="A6" s="185" t="s">
        <v>129</v>
      </c>
      <c r="B6" s="185"/>
      <c r="C6" s="185"/>
      <c r="D6" s="185"/>
      <c r="E6" s="185"/>
      <c r="F6" s="185"/>
      <c r="G6" s="185"/>
      <c r="H6" s="185"/>
      <c r="I6" s="185"/>
      <c r="J6" s="185"/>
      <c r="K6" s="185"/>
      <c r="L6" s="185"/>
      <c r="M6" s="185"/>
      <c r="N6" s="185"/>
      <c r="O6" s="185"/>
      <c r="P6" s="185"/>
    </row>
    <row r="7" spans="1:16" ht="39" customHeight="1">
      <c r="A7" s="185" t="s">
        <v>130</v>
      </c>
      <c r="B7" s="185"/>
      <c r="C7" s="185"/>
      <c r="D7" s="185"/>
      <c r="E7" s="185"/>
      <c r="F7" s="185"/>
      <c r="G7" s="185"/>
      <c r="H7" s="185"/>
      <c r="I7" s="185"/>
      <c r="J7" s="185"/>
      <c r="K7" s="185"/>
      <c r="L7" s="185"/>
      <c r="M7" s="185"/>
      <c r="N7" s="185"/>
      <c r="O7" s="185"/>
      <c r="P7" s="185"/>
    </row>
    <row r="8" spans="1:16" ht="25.5" customHeight="1">
      <c r="A8" s="185" t="s">
        <v>193</v>
      </c>
      <c r="B8" s="185"/>
      <c r="C8" s="185"/>
      <c r="D8" s="185"/>
      <c r="E8" s="185"/>
      <c r="F8" s="185"/>
      <c r="G8" s="185"/>
      <c r="H8" s="185"/>
      <c r="I8" s="185"/>
      <c r="J8" s="185"/>
      <c r="K8" s="185"/>
      <c r="L8" s="185"/>
      <c r="M8" s="185"/>
      <c r="N8" s="185"/>
      <c r="O8" s="185"/>
      <c r="P8" s="185"/>
    </row>
    <row r="10" ht="15.75">
      <c r="A10" s="178" t="s">
        <v>196</v>
      </c>
    </row>
    <row r="11" ht="12.75">
      <c r="A11" s="9" t="s">
        <v>194</v>
      </c>
    </row>
    <row r="12" ht="12.75">
      <c r="A12" s="11" t="s">
        <v>212</v>
      </c>
    </row>
    <row r="13" s="9" customFormat="1" ht="12.75"/>
    <row r="14" ht="15.75">
      <c r="A14" s="178" t="s">
        <v>197</v>
      </c>
    </row>
    <row r="15" spans="1:3" ht="12.75">
      <c r="A15" s="12" t="s">
        <v>198</v>
      </c>
      <c r="B15" s="11"/>
      <c r="C15" s="11"/>
    </row>
    <row r="16" spans="1:3" ht="12.75">
      <c r="A16" s="11" t="s">
        <v>199</v>
      </c>
      <c r="C16" s="11"/>
    </row>
    <row r="17" spans="1:3" ht="12.75">
      <c r="A17" s="11" t="s">
        <v>216</v>
      </c>
      <c r="C17" s="11"/>
    </row>
    <row r="18" spans="1:3" ht="12.75">
      <c r="A18" s="11" t="s">
        <v>200</v>
      </c>
      <c r="B18" s="11"/>
      <c r="C18" s="11"/>
    </row>
    <row r="19" ht="12.75">
      <c r="A19" s="11" t="s">
        <v>206</v>
      </c>
    </row>
    <row r="20" ht="12.75">
      <c r="A20" s="11" t="s">
        <v>210</v>
      </c>
    </row>
    <row r="21" ht="12.75">
      <c r="A21" s="11" t="s">
        <v>211</v>
      </c>
    </row>
    <row r="22" ht="12.75">
      <c r="A22" s="11"/>
    </row>
    <row r="23" ht="12.75">
      <c r="A23" s="11" t="s">
        <v>205</v>
      </c>
    </row>
  </sheetData>
  <sheetProtection password="DCC8" sheet="1"/>
  <mergeCells count="6">
    <mergeCell ref="A3:O3"/>
    <mergeCell ref="A4:P4"/>
    <mergeCell ref="A5:P5"/>
    <mergeCell ref="A6:P6"/>
    <mergeCell ref="A7:P7"/>
    <mergeCell ref="A8:P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5"/>
  <dimension ref="B1:Z34"/>
  <sheetViews>
    <sheetView showGridLines="0" zoomScalePageLayoutView="0" workbookViewId="0" topLeftCell="A1">
      <selection activeCell="K2" sqref="K2"/>
    </sheetView>
  </sheetViews>
  <sheetFormatPr defaultColWidth="9.140625" defaultRowHeight="12.75"/>
  <cols>
    <col min="1" max="1" width="3.421875" style="53" customWidth="1"/>
    <col min="2" max="2" width="45.7109375" style="53" customWidth="1"/>
    <col min="3" max="3" width="11.421875" style="53" customWidth="1"/>
    <col min="4" max="4" width="3.57421875" style="76" customWidth="1"/>
    <col min="5" max="5" width="11.7109375" style="53" customWidth="1"/>
    <col min="6" max="6" width="15.28125" style="53" customWidth="1"/>
    <col min="7" max="7" width="11.7109375" style="53" customWidth="1"/>
    <col min="8" max="8" width="6.140625" style="53" customWidth="1"/>
    <col min="9" max="9" width="8.7109375" style="53" customWidth="1"/>
    <col min="10" max="10" width="4.28125" style="53" customWidth="1"/>
    <col min="11" max="11" width="12.140625" style="53" customWidth="1"/>
    <col min="12" max="12" width="3.8515625" style="53" customWidth="1"/>
    <col min="13" max="13" width="4.28125" style="53" customWidth="1"/>
    <col min="14" max="14" width="3.28125" style="53" bestFit="1" customWidth="1"/>
    <col min="15" max="15" width="9.140625" style="53" customWidth="1"/>
    <col min="16" max="16" width="12.421875" style="53" bestFit="1" customWidth="1"/>
    <col min="17" max="18" width="9.140625" style="53" customWidth="1"/>
    <col min="19" max="19" width="11.28125" style="53" customWidth="1"/>
    <col min="20" max="20" width="3.140625" style="53" customWidth="1"/>
    <col min="21" max="21" width="3.28125" style="53" customWidth="1"/>
    <col min="22" max="22" width="9.140625" style="53" customWidth="1"/>
    <col min="23" max="23" width="3.28125" style="53" customWidth="1"/>
    <col min="24" max="16384" width="9.140625" style="53" customWidth="1"/>
  </cols>
  <sheetData>
    <row r="1" ht="15.75">
      <c r="B1" s="52" t="s">
        <v>43</v>
      </c>
    </row>
    <row r="2" spans="3:8" ht="12.75">
      <c r="C2" s="270" t="s">
        <v>29</v>
      </c>
      <c r="D2" s="270"/>
      <c r="E2" s="270"/>
      <c r="F2" s="271" t="s">
        <v>30</v>
      </c>
      <c r="G2" s="272"/>
      <c r="H2" s="120" t="s">
        <v>209</v>
      </c>
    </row>
    <row r="3" ht="12.75"/>
    <row r="4" spans="2:18" ht="12.75">
      <c r="B4" s="54" t="s">
        <v>19</v>
      </c>
      <c r="C4" s="54" t="s">
        <v>1</v>
      </c>
      <c r="D4" s="77"/>
      <c r="E4" s="54" t="s">
        <v>2</v>
      </c>
      <c r="F4" s="89" t="s">
        <v>22</v>
      </c>
      <c r="G4" s="54" t="s">
        <v>23</v>
      </c>
      <c r="J4" s="166" t="s">
        <v>161</v>
      </c>
      <c r="K4" s="166"/>
      <c r="L4" s="166"/>
      <c r="M4" s="166"/>
      <c r="N4" s="166"/>
      <c r="O4" s="166"/>
      <c r="P4" s="98"/>
      <c r="Q4" s="177" t="s">
        <v>187</v>
      </c>
      <c r="R4" s="177" t="s">
        <v>186</v>
      </c>
    </row>
    <row r="5" spans="2:26" ht="12.75" customHeight="1">
      <c r="B5" s="55" t="s">
        <v>34</v>
      </c>
      <c r="C5" s="43" t="s">
        <v>7</v>
      </c>
      <c r="E5" s="32"/>
      <c r="F5" s="50"/>
      <c r="G5" s="80"/>
      <c r="J5" s="155"/>
      <c r="K5" s="156"/>
      <c r="L5" s="156"/>
      <c r="M5" s="157"/>
      <c r="N5" s="289" t="s">
        <v>160</v>
      </c>
      <c r="P5" s="165" t="s">
        <v>166</v>
      </c>
      <c r="Q5" s="53">
        <f>F21/2000</f>
        <v>0</v>
      </c>
      <c r="R5" s="168">
        <f>0.5*0.001*('T3.20 T3.33 FBH S''pt Structure'!I18-'T3.20 T3.33 FBH S''pt Structure'!I19)</f>
        <v>0</v>
      </c>
      <c r="U5" s="78"/>
      <c r="V5" s="154"/>
      <c r="W5" s="78"/>
      <c r="X5" s="92"/>
      <c r="Y5" s="175">
        <v>3</v>
      </c>
      <c r="Z5" s="172"/>
    </row>
    <row r="6" spans="2:26" ht="12.75" customHeight="1">
      <c r="B6" s="55" t="s">
        <v>50</v>
      </c>
      <c r="C6" s="43" t="s">
        <v>48</v>
      </c>
      <c r="E6" s="32"/>
      <c r="F6" s="79" t="s">
        <v>24</v>
      </c>
      <c r="G6" s="80"/>
      <c r="J6" s="158"/>
      <c r="K6" s="154"/>
      <c r="L6" s="285" t="s">
        <v>158</v>
      </c>
      <c r="M6" s="163"/>
      <c r="N6" s="289"/>
      <c r="P6" s="165" t="s">
        <v>167</v>
      </c>
      <c r="Q6" s="53">
        <f>F20/1000</f>
        <v>0</v>
      </c>
      <c r="R6" s="168">
        <f>25.4/1000</f>
        <v>0.0254</v>
      </c>
      <c r="U6" s="80"/>
      <c r="V6" s="91"/>
      <c r="W6" s="80"/>
      <c r="X6" s="154"/>
      <c r="Y6" s="173"/>
      <c r="Z6" s="171"/>
    </row>
    <row r="7" spans="2:26" ht="12.75">
      <c r="B7" s="56" t="s">
        <v>20</v>
      </c>
      <c r="C7" s="45" t="str">
        <f>HLOOKUP(C5,MaterialData!$C$3:$K$4,2,FALSE)</f>
        <v>Steel</v>
      </c>
      <c r="D7" s="81"/>
      <c r="E7" s="45" t="e">
        <f>HLOOKUP(E5,MaterialData!$C$3:$K$4,2,FALSE)</f>
        <v>#N/A</v>
      </c>
      <c r="F7" s="45" t="e">
        <f>HLOOKUP(F5,MaterialData!$C$3:$K$4,2,FALSE)</f>
        <v>#N/A</v>
      </c>
      <c r="G7" s="82"/>
      <c r="J7" s="158"/>
      <c r="K7" s="91"/>
      <c r="L7" s="286"/>
      <c r="M7" s="163"/>
      <c r="N7" s="289"/>
      <c r="S7" s="53">
        <f>(R5*R6^3)/12</f>
        <v>0</v>
      </c>
      <c r="U7" s="80"/>
      <c r="V7" s="91"/>
      <c r="W7" s="80"/>
      <c r="X7" s="91"/>
      <c r="Y7" s="76"/>
      <c r="Z7" s="73"/>
    </row>
    <row r="8" spans="2:26" ht="15.75">
      <c r="B8" s="56" t="s">
        <v>21</v>
      </c>
      <c r="C8" s="45">
        <f>INDEX(Innertable,MATCH($B8,MaterialData!$B$5:$B$10,0),MATCH(C$7,MaterialData!$C$4:$K$4,0))</f>
        <v>200000000000</v>
      </c>
      <c r="D8" s="81"/>
      <c r="E8" s="45" t="e">
        <f>INDEX(Innertable,MATCH($B8,MaterialData!$B$5:$B$10,0),MATCH(E$7,MaterialData!$C$4:$K$4,0))</f>
        <v>#N/A</v>
      </c>
      <c r="F8" s="45" t="e">
        <f>INDEX(Innertable,MATCH($B8,MaterialData!$B$5:$B$10,0),MATCH(F$7,MaterialData!$C$4:$K$4,0))</f>
        <v>#N/A</v>
      </c>
      <c r="G8" s="82"/>
      <c r="J8" s="158"/>
      <c r="K8" s="91"/>
      <c r="L8" s="286"/>
      <c r="M8" s="163"/>
      <c r="N8" s="289"/>
      <c r="P8" s="165" t="s">
        <v>169</v>
      </c>
      <c r="Q8" s="57">
        <f>Q5*Q6</f>
        <v>0</v>
      </c>
      <c r="R8" s="165" t="s">
        <v>188</v>
      </c>
      <c r="S8" s="57">
        <f>(Q5*Q6^3)/12</f>
        <v>0</v>
      </c>
      <c r="U8" s="80"/>
      <c r="V8" s="91"/>
      <c r="W8" s="80"/>
      <c r="X8" s="94"/>
      <c r="Y8" s="95"/>
      <c r="Z8" s="96"/>
    </row>
    <row r="9" spans="2:26" ht="15.75">
      <c r="B9" s="56" t="s">
        <v>10</v>
      </c>
      <c r="C9" s="45">
        <f>INDEX(Innertable,MATCH($B9,MaterialData!$B$5:$B$10,0),MATCH(C$7,MaterialData!$C$4:$K$4,0))</f>
        <v>305000000</v>
      </c>
      <c r="D9" s="81"/>
      <c r="E9" s="45" t="e">
        <f>INDEX(Innertable,MATCH($B9,MaterialData!$B$5:$B$10,0),MATCH(E$7,MaterialData!$C$4:$K$4,0))</f>
        <v>#N/A</v>
      </c>
      <c r="F9" s="45" t="e">
        <f>INDEX(Innertable,MATCH($B9,MaterialData!$B$5:$B$10,0),MATCH(F$7,MaterialData!$C$4:$K$4,0))</f>
        <v>#N/A</v>
      </c>
      <c r="G9" s="82"/>
      <c r="J9" s="158"/>
      <c r="K9" s="91"/>
      <c r="L9" s="286"/>
      <c r="M9" s="163"/>
      <c r="N9" s="289"/>
      <c r="P9" s="165" t="s">
        <v>170</v>
      </c>
      <c r="Q9" s="57">
        <f>Q8</f>
        <v>0</v>
      </c>
      <c r="R9" s="165" t="s">
        <v>189</v>
      </c>
      <c r="S9" s="57">
        <f>S8</f>
        <v>0</v>
      </c>
      <c r="U9" s="174">
        <v>1</v>
      </c>
      <c r="V9" s="91"/>
      <c r="W9" s="174">
        <v>2</v>
      </c>
      <c r="X9" s="92"/>
      <c r="Y9" s="175">
        <v>4</v>
      </c>
      <c r="Z9" s="172"/>
    </row>
    <row r="10" spans="2:23" ht="15.75">
      <c r="B10" s="56" t="s">
        <v>11</v>
      </c>
      <c r="C10" s="45">
        <f>INDEX(Innertable,MATCH($B10,MaterialData!$B$5:$B$10,0),MATCH(C$7,MaterialData!$C$4:$K$4,0))</f>
        <v>365000000</v>
      </c>
      <c r="D10" s="81"/>
      <c r="E10" s="45" t="e">
        <f>INDEX(Innertable,MATCH($B10,MaterialData!$B$5:$B$10,0),MATCH(E$7,MaterialData!$C$4:$K$4,0))</f>
        <v>#N/A</v>
      </c>
      <c r="F10" s="45" t="e">
        <f>INDEX(Innertable,MATCH($B10,MaterialData!$B$5:$B$10,0),MATCH(F$7,MaterialData!$C$4:$K$4,0))</f>
        <v>#N/A</v>
      </c>
      <c r="G10" s="82"/>
      <c r="J10" s="158"/>
      <c r="K10" s="91"/>
      <c r="L10" s="286"/>
      <c r="M10" s="163"/>
      <c r="N10" s="289"/>
      <c r="P10" s="165" t="s">
        <v>171</v>
      </c>
      <c r="Q10" s="57">
        <f>R5*R6</f>
        <v>0</v>
      </c>
      <c r="R10" s="165" t="s">
        <v>190</v>
      </c>
      <c r="S10" s="57">
        <f>(R5*R6^3)/12</f>
        <v>0</v>
      </c>
      <c r="U10" s="80"/>
      <c r="V10" s="91"/>
      <c r="W10" s="80"/>
    </row>
    <row r="11" spans="2:23" ht="15.75">
      <c r="B11" s="56" t="s">
        <v>9</v>
      </c>
      <c r="C11" s="45">
        <f>INDEX(Innertable,MATCH($B11,MaterialData!$B$5:$B$10,0),MATCH(C$7,MaterialData!$C$4:$K$4,0))</f>
        <v>180000000</v>
      </c>
      <c r="D11" s="81"/>
      <c r="E11" s="45" t="e">
        <f>INDEX(Innertable,MATCH($B11,MaterialData!$B$5:$B$10,0),MATCH(E$7,MaterialData!$C$4:$K$4,0))</f>
        <v>#N/A</v>
      </c>
      <c r="F11" s="45" t="e">
        <f>INDEX(Innertable,MATCH($B11,MaterialData!$B$5:$B$10,0),MATCH(F$7,MaterialData!$C$4:$K$4,0))</f>
        <v>#N/A</v>
      </c>
      <c r="G11" s="82"/>
      <c r="J11" s="158"/>
      <c r="K11" s="164" t="s">
        <v>157</v>
      </c>
      <c r="L11" s="287"/>
      <c r="M11" s="163"/>
      <c r="N11" s="289"/>
      <c r="P11" s="165" t="s">
        <v>172</v>
      </c>
      <c r="Q11" s="57">
        <f>Q10</f>
        <v>0</v>
      </c>
      <c r="R11" s="165" t="s">
        <v>191</v>
      </c>
      <c r="S11" s="57">
        <f>S10</f>
        <v>0</v>
      </c>
      <c r="U11" s="80"/>
      <c r="V11" s="91"/>
      <c r="W11" s="80"/>
    </row>
    <row r="12" spans="2:23" ht="15.75">
      <c r="B12" s="56" t="s">
        <v>8</v>
      </c>
      <c r="C12" s="45">
        <f>INDEX(Innertable,MATCH($B12,MaterialData!$B$5:$B$10,0),MATCH(C$7,MaterialData!$C$4:$K$4,0))</f>
        <v>300000000</v>
      </c>
      <c r="D12" s="81"/>
      <c r="E12" s="45" t="e">
        <f>INDEX(Innertable,MATCH($B12,MaterialData!$B$5:$B$10,0),MATCH(E$7,MaterialData!$C$4:$K$4,0))</f>
        <v>#N/A</v>
      </c>
      <c r="F12" s="45" t="e">
        <f>INDEX(Innertable,MATCH($B12,MaterialData!$B$5:$B$10,0),MATCH(F$7,MaterialData!$C$4:$K$4,0))</f>
        <v>#N/A</v>
      </c>
      <c r="G12" s="82"/>
      <c r="J12" s="159"/>
      <c r="K12" s="160"/>
      <c r="L12" s="161"/>
      <c r="M12" s="162"/>
      <c r="N12" s="289"/>
      <c r="P12" s="165" t="s">
        <v>182</v>
      </c>
      <c r="Q12" s="53">
        <f>Q6/2</f>
        <v>0</v>
      </c>
      <c r="R12" s="165" t="s">
        <v>173</v>
      </c>
      <c r="S12" s="57" t="e">
        <f>S8+(Q8*($Q$16-Q12)^2)</f>
        <v>#DIV/0!</v>
      </c>
      <c r="U12" s="80"/>
      <c r="V12" s="91"/>
      <c r="W12" s="80"/>
    </row>
    <row r="13" spans="3:23" ht="15.75">
      <c r="C13" s="76"/>
      <c r="D13" s="53"/>
      <c r="E13" s="80"/>
      <c r="G13" s="80"/>
      <c r="J13" s="288" t="s">
        <v>159</v>
      </c>
      <c r="K13" s="288"/>
      <c r="L13" s="288"/>
      <c r="M13" s="288"/>
      <c r="P13" s="165" t="s">
        <v>183</v>
      </c>
      <c r="Q13" s="53">
        <f>(F18*0.001)-Q12</f>
        <v>0</v>
      </c>
      <c r="R13" s="165" t="s">
        <v>174</v>
      </c>
      <c r="S13" s="57" t="e">
        <f>S9+(Q9*($Q$16-Q13)^2)</f>
        <v>#DIV/0!</v>
      </c>
      <c r="U13" s="84"/>
      <c r="V13" s="94"/>
      <c r="W13" s="84"/>
    </row>
    <row r="14" spans="2:19" ht="15.75">
      <c r="B14" s="56" t="s">
        <v>35</v>
      </c>
      <c r="C14" s="43">
        <v>2</v>
      </c>
      <c r="D14" s="53"/>
      <c r="E14" s="32"/>
      <c r="G14" s="80"/>
      <c r="L14" s="57"/>
      <c r="P14" s="165" t="s">
        <v>184</v>
      </c>
      <c r="Q14" s="53">
        <f>(F18*0.001)+(0.5*R6)</f>
        <v>0.0127</v>
      </c>
      <c r="R14" s="165" t="s">
        <v>175</v>
      </c>
      <c r="S14" s="57" t="e">
        <f>S10+(Q10*($Q$16-Q14)^2)</f>
        <v>#DIV/0!</v>
      </c>
    </row>
    <row r="15" spans="2:26" ht="15.75">
      <c r="B15" s="56" t="s">
        <v>114</v>
      </c>
      <c r="C15" s="43">
        <f>IF(AND(E6="round",E16&gt;=1.75),25,25.4)</f>
        <v>25.4</v>
      </c>
      <c r="E15" s="32"/>
      <c r="F15" s="76"/>
      <c r="G15" s="80"/>
      <c r="K15" s="165" t="s">
        <v>162</v>
      </c>
      <c r="L15" s="278"/>
      <c r="M15" s="279"/>
      <c r="N15" s="280"/>
      <c r="P15" s="165" t="s">
        <v>185</v>
      </c>
      <c r="Q15" s="53">
        <f>Q14</f>
        <v>0.0127</v>
      </c>
      <c r="R15" s="165" t="s">
        <v>176</v>
      </c>
      <c r="S15" s="57" t="e">
        <f>S11+(Q11*($Q$16-Q15)^2)</f>
        <v>#DIV/0!</v>
      </c>
      <c r="U15" s="281" t="s">
        <v>177</v>
      </c>
      <c r="V15" s="281"/>
      <c r="W15" s="281"/>
      <c r="X15" s="281" t="s">
        <v>178</v>
      </c>
      <c r="Y15" s="281"/>
      <c r="Z15" s="281"/>
    </row>
    <row r="16" spans="2:17" ht="12.75">
      <c r="B16" s="56" t="s">
        <v>115</v>
      </c>
      <c r="C16" s="43">
        <f>IF(AND(E6="round",C15=25),1.75,1.6)</f>
        <v>1.6</v>
      </c>
      <c r="E16" s="32"/>
      <c r="F16" s="76"/>
      <c r="G16" s="80"/>
      <c r="K16" s="165" t="s">
        <v>163</v>
      </c>
      <c r="L16" s="278"/>
      <c r="M16" s="279"/>
      <c r="N16" s="280"/>
      <c r="P16" s="165" t="s">
        <v>168</v>
      </c>
      <c r="Q16" s="170" t="e">
        <f>(Q8*Q12+Q9*Q13+Q10*Q14+Q11*Q15)/(Q8+Q9+Q10+Q11)</f>
        <v>#DIV/0!</v>
      </c>
    </row>
    <row r="17" spans="2:19" ht="15.75">
      <c r="B17" s="76"/>
      <c r="C17" s="76"/>
      <c r="E17" s="80"/>
      <c r="F17" s="76"/>
      <c r="G17" s="80"/>
      <c r="K17" s="165" t="s">
        <v>164</v>
      </c>
      <c r="L17" s="278"/>
      <c r="M17" s="279"/>
      <c r="N17" s="280"/>
      <c r="R17" s="165" t="s">
        <v>179</v>
      </c>
      <c r="S17" s="57" t="e">
        <f>SUM(S12:S13)</f>
        <v>#DIV/0!</v>
      </c>
    </row>
    <row r="18" spans="2:19" ht="15.75">
      <c r="B18" s="75" t="s">
        <v>25</v>
      </c>
      <c r="C18" s="76"/>
      <c r="E18" s="80"/>
      <c r="F18" s="50"/>
      <c r="G18" s="80"/>
      <c r="K18" s="165" t="s">
        <v>165</v>
      </c>
      <c r="L18" s="282"/>
      <c r="M18" s="283"/>
      <c r="N18" s="284"/>
      <c r="R18" s="165" t="s">
        <v>180</v>
      </c>
      <c r="S18" s="57" t="e">
        <f>SUM(S14:S15)</f>
        <v>#DIV/0!</v>
      </c>
    </row>
    <row r="19" spans="2:19" ht="15.75">
      <c r="B19" s="75" t="s">
        <v>26</v>
      </c>
      <c r="C19" s="76"/>
      <c r="E19" s="80"/>
      <c r="F19" s="50"/>
      <c r="G19" s="80"/>
      <c r="L19" s="57"/>
      <c r="R19" s="165" t="s">
        <v>181</v>
      </c>
      <c r="S19" s="57" t="e">
        <f>'T3.20 T3.33 FBH S''pt Structure'!I8</f>
        <v>#N/A</v>
      </c>
    </row>
    <row r="20" spans="2:12" ht="12.75">
      <c r="B20" s="75" t="s">
        <v>27</v>
      </c>
      <c r="E20" s="80"/>
      <c r="F20" s="83">
        <f>(F18-F19)/2</f>
        <v>0</v>
      </c>
      <c r="G20" s="80"/>
      <c r="L20" s="57"/>
    </row>
    <row r="21" spans="2:19" ht="12.75">
      <c r="B21" s="75" t="s">
        <v>28</v>
      </c>
      <c r="E21" s="80"/>
      <c r="F21" s="167">
        <f>MIN(L15-L17,L16-L18)</f>
        <v>0</v>
      </c>
      <c r="G21" s="80"/>
      <c r="L21" s="57"/>
      <c r="R21" s="165"/>
      <c r="S21" s="57"/>
    </row>
    <row r="22" spans="2:19" ht="12.75">
      <c r="B22" s="76"/>
      <c r="C22" s="76"/>
      <c r="E22" s="84"/>
      <c r="F22" s="76"/>
      <c r="G22" s="80"/>
      <c r="L22" s="57"/>
      <c r="S22" s="176"/>
    </row>
    <row r="23" spans="2:12" ht="12.75">
      <c r="B23" s="56" t="s">
        <v>4</v>
      </c>
      <c r="C23" s="43">
        <f>C15/1000</f>
        <v>0.0254</v>
      </c>
      <c r="E23" s="43">
        <f>IF(F2="Composite only","No tubes",E15/1000)</f>
        <v>0</v>
      </c>
      <c r="F23" s="76"/>
      <c r="G23" s="80"/>
      <c r="J23" s="165"/>
      <c r="K23" s="169"/>
      <c r="L23" s="57"/>
    </row>
    <row r="24" spans="2:19" ht="12.75">
      <c r="B24" s="56" t="s">
        <v>107</v>
      </c>
      <c r="C24" s="43">
        <f>C16/1000</f>
        <v>0.0016</v>
      </c>
      <c r="E24" s="43">
        <f>IF(F2="Composite only","",E16/1000)</f>
        <v>0</v>
      </c>
      <c r="F24" s="76"/>
      <c r="G24" s="84"/>
      <c r="J24" s="165"/>
      <c r="K24" s="57"/>
      <c r="L24" s="57"/>
      <c r="P24" s="58"/>
      <c r="S24" s="58"/>
    </row>
    <row r="25" spans="2:17" ht="12.75">
      <c r="B25" s="56" t="s">
        <v>3</v>
      </c>
      <c r="C25" s="45">
        <f>IF(C6="Round",((C23)^4-((C23-2*C24))^4)*3.142/64,((C23)^4-((C23-2*C24))^4)/12)</f>
        <v>8.509918480000002E-09</v>
      </c>
      <c r="E25" s="45">
        <f>IF(F2="Composite only","",IF(E6="Round",((E23)^4-((E23-2*E24))^4)*3.142/64,IF(E6="Square",((E23)^4-((E23-2*E24))^4)/12,"")))</f>
      </c>
      <c r="F25" s="86" t="str">
        <f>IF($F$2="Tubing only","Tubing Only",((F21/1000)*((F18/1000)^3-(F19/1000)^3)/12))</f>
        <v>Tubing Only</v>
      </c>
      <c r="G25" s="45">
        <f aca="true" t="shared" si="0" ref="G25:G32">IF($F$2="Tubing only",E25,IF($F$2="Composite only",F25,IF($F$2="Tubes + Composite",E25+F25,"No Type Selected")))</f>
      </c>
      <c r="J25" s="165"/>
      <c r="K25" s="57"/>
      <c r="L25" s="57"/>
      <c r="O25" s="57"/>
      <c r="P25" s="58"/>
      <c r="Q25" s="58"/>
    </row>
    <row r="26" spans="2:8" ht="12.75">
      <c r="B26" s="56" t="s">
        <v>0</v>
      </c>
      <c r="C26" s="45">
        <f>C8*C25*C14</f>
        <v>3403.967392000001</v>
      </c>
      <c r="D26" s="81"/>
      <c r="E26" s="45" t="e">
        <f>IF(F2="Composite only","",E8*E25*E14)</f>
        <v>#N/A</v>
      </c>
      <c r="F26" s="86">
        <f>IF(F25="Tubing Only","",2*((F8*S17)+(S18*S19)))</f>
      </c>
      <c r="G26" s="45" t="e">
        <f t="shared" si="0"/>
        <v>#N/A</v>
      </c>
      <c r="H26" s="51" t="e">
        <f>100*G26/C26</f>
        <v>#N/A</v>
      </c>
    </row>
    <row r="27" spans="2:17" ht="12.75">
      <c r="B27" s="56" t="s">
        <v>108</v>
      </c>
      <c r="C27" s="46">
        <f>IF(C23="no tubes","",IF(C14=0,"",IF(C6="Round",C14*((C15^2-(C15-2*C16)^2)*PI()/4),IF(C6="Square",C14*(C15^2-(C15-2*C16)^2),""))))</f>
        <v>239.26369649739863</v>
      </c>
      <c r="D27" s="87"/>
      <c r="E27" s="46">
        <f>IF(E23="no tubes","",IF(E14=0,"",IF(E6="Round",E14*((E15^2-(E15-2*E16)^2)*PI()/4),IF(E6="Square",E14*(E15^2-(E15-2*E16)^2),""))))</f>
      </c>
      <c r="F27" s="46">
        <f>IF(F25="Tubing Only","",(F18-F19)*F21)</f>
      </c>
      <c r="G27" s="46">
        <f t="shared" si="0"/>
      </c>
      <c r="H27" s="51" t="str">
        <f>IF(AND(F2="tubing only",E5="steel"),100*G27/C27,"NA")</f>
        <v>NA</v>
      </c>
      <c r="I27" s="53">
        <f>IF(AND(95&lt;H27,H27&lt;100),"For tubes only, provided your actual tube measures &gt;= your nominal OD and wall this is OK","")</f>
      </c>
      <c r="Q27" s="58"/>
    </row>
    <row r="28" spans="2:9" ht="12.75">
      <c r="B28" s="56" t="s">
        <v>109</v>
      </c>
      <c r="C28" s="45">
        <f>C$27*C9/1000000</f>
        <v>72975.42743170659</v>
      </c>
      <c r="D28" s="81"/>
      <c r="E28" s="45" t="e">
        <f>IF(F2="Composite only","",E$27*E9/1000000)</f>
        <v>#VALUE!</v>
      </c>
      <c r="F28" s="45">
        <f>IF(F25="Tubing Only","",F27*F9/1000000)</f>
      </c>
      <c r="G28" s="45" t="e">
        <f t="shared" si="0"/>
        <v>#VALUE!</v>
      </c>
      <c r="H28" s="51" t="e">
        <f aca="true" t="shared" si="1" ref="H28:H34">100*G28/C28</f>
        <v>#VALUE!</v>
      </c>
      <c r="I28" s="53" t="e">
        <f>IF(AND(95&lt;H28,H28&lt;100),"For tubes only, provided your actual tube measures &gt;= your nominal OD and wall this is OK","")</f>
        <v>#VALUE!</v>
      </c>
    </row>
    <row r="29" spans="2:9" ht="12.75">
      <c r="B29" s="56" t="s">
        <v>5</v>
      </c>
      <c r="C29" s="45">
        <f>C$27*C10/1000000</f>
        <v>87331.24922155049</v>
      </c>
      <c r="D29" s="81"/>
      <c r="E29" s="45" t="e">
        <f>IF(F2="Composite only","",E$27*E10/1000000)</f>
        <v>#VALUE!</v>
      </c>
      <c r="F29" s="45">
        <f>IF(F25="Tubing Only","",F27*F10/1000000)</f>
      </c>
      <c r="G29" s="45" t="e">
        <f t="shared" si="0"/>
        <v>#VALUE!</v>
      </c>
      <c r="H29" s="51" t="e">
        <f t="shared" si="1"/>
        <v>#VALUE!</v>
      </c>
      <c r="I29" s="53" t="e">
        <f>IF(AND(95&lt;H29,H29&lt;100),"For tubes only, provided your actual tube measures &gt;= your nominal OD and wall this is OK","")</f>
        <v>#VALUE!</v>
      </c>
    </row>
    <row r="30" spans="2:9" ht="12.75">
      <c r="B30" s="56" t="s">
        <v>110</v>
      </c>
      <c r="C30" s="45">
        <f>C$27*C11/1000000</f>
        <v>43067.465369531754</v>
      </c>
      <c r="D30" s="81"/>
      <c r="E30" s="45" t="e">
        <f>IF(F2="Composite only","",E$27*E11/1000000)</f>
        <v>#VALUE!</v>
      </c>
      <c r="F30" s="45">
        <f>IF(F25="Tubing Only","",F27*F9/1000000)</f>
      </c>
      <c r="G30" s="45" t="e">
        <f t="shared" si="0"/>
        <v>#VALUE!</v>
      </c>
      <c r="H30" s="51" t="e">
        <f t="shared" si="1"/>
        <v>#VALUE!</v>
      </c>
      <c r="I30" s="53" t="e">
        <f>IF(AND(95&lt;H30,H30&lt;100),"For tubes only, provided your actual tube measures &gt;= your nominal OD and wall this is OK","")</f>
        <v>#VALUE!</v>
      </c>
    </row>
    <row r="31" spans="2:9" ht="12.75">
      <c r="B31" s="56" t="s">
        <v>6</v>
      </c>
      <c r="C31" s="45">
        <f>IF(C14=0,"",C$27*C12/1000000)</f>
        <v>71779.10894921959</v>
      </c>
      <c r="D31" s="81"/>
      <c r="E31" s="45" t="e">
        <f>IF(F2="Composite only","",E$27*E12/1000000)</f>
        <v>#VALUE!</v>
      </c>
      <c r="F31" s="45">
        <f>IF(F25="tubing only","",F27*F10/1000000)</f>
      </c>
      <c r="G31" s="45" t="e">
        <f t="shared" si="0"/>
        <v>#VALUE!</v>
      </c>
      <c r="H31" s="51" t="e">
        <f t="shared" si="1"/>
        <v>#VALUE!</v>
      </c>
      <c r="I31" s="53" t="e">
        <f>IF(AND(95&lt;H31,H31&lt;100),"For tubes only, provided your actual tube measures &gt;= your nominal OD and wall this is OK","")</f>
        <v>#VALUE!</v>
      </c>
    </row>
    <row r="32" spans="2:8" ht="12.75">
      <c r="B32" s="56" t="s">
        <v>111</v>
      </c>
      <c r="C32" s="45">
        <f>C14*4*C10*C25/(0.5*C23*1)</f>
        <v>1956.6111780787407</v>
      </c>
      <c r="E32" s="45" t="e">
        <f>IF(F2="Composite only","",E14*4*E10*E25/(0.5*E23*1))</f>
        <v>#N/A</v>
      </c>
      <c r="F32" s="45">
        <f>IF(F25="tubing only","",4*F10*F25/(0.001*0.5*F18*1))</f>
      </c>
      <c r="G32" s="45" t="e">
        <f t="shared" si="0"/>
        <v>#N/A</v>
      </c>
      <c r="H32" s="51" t="e">
        <f t="shared" si="1"/>
        <v>#N/A</v>
      </c>
    </row>
    <row r="33" spans="2:8" ht="12.75">
      <c r="B33" s="56" t="s">
        <v>112</v>
      </c>
      <c r="C33" s="45">
        <f>IF(C14=0,"",C32*1^3/(48*C26))</f>
        <v>0.0119750656167979</v>
      </c>
      <c r="E33" s="45" t="e">
        <f>IF($F$2="tubing only",$C$32*1^3/(48*E26),"")</f>
        <v>#N/A</v>
      </c>
      <c r="F33" s="45">
        <f>IF($F$2="tubing only","",$C$32*1^3/(48*F26))</f>
      </c>
      <c r="G33" s="45" t="e">
        <f>$C$32*1^3/(48*G26)</f>
        <v>#N/A</v>
      </c>
      <c r="H33" s="51" t="e">
        <f t="shared" si="1"/>
        <v>#N/A</v>
      </c>
    </row>
    <row r="34" spans="2:8" ht="12.75">
      <c r="B34" s="56" t="s">
        <v>113</v>
      </c>
      <c r="C34" s="45">
        <f>0.5*C32*(C32*1^3/(48*C26))</f>
        <v>11.71527362202658</v>
      </c>
      <c r="D34" s="66"/>
      <c r="E34" s="45" t="e">
        <f>IF(E23="no tubes","",0.5*E32*(E32*1^3/(48*E26)))</f>
        <v>#N/A</v>
      </c>
      <c r="F34" s="45">
        <f>IF(F25="tubing only","",0.5*F32*(F32*1^3/(48*F26)))</f>
      </c>
      <c r="G34" s="45" t="e">
        <f>IF($F$2="Tubing only",E34,IF($F$2="Composite only",F34,IF($F$2="Tubes + Composite",E34+F34,"No Type Selected")))</f>
        <v>#N/A</v>
      </c>
      <c r="H34" s="51" t="e">
        <f t="shared" si="1"/>
        <v>#N/A</v>
      </c>
    </row>
  </sheetData>
  <sheetProtection password="DCC8" sheet="1"/>
  <mergeCells count="11">
    <mergeCell ref="C2:E2"/>
    <mergeCell ref="F2:G2"/>
    <mergeCell ref="L6:L11"/>
    <mergeCell ref="J13:M13"/>
    <mergeCell ref="N5:N12"/>
    <mergeCell ref="L15:N15"/>
    <mergeCell ref="U15:W15"/>
    <mergeCell ref="X15:Z15"/>
    <mergeCell ref="L16:N16"/>
    <mergeCell ref="L17:N17"/>
    <mergeCell ref="L18:N18"/>
  </mergeCells>
  <conditionalFormatting sqref="H26:H32 H34">
    <cfRule type="cellIs" priority="1" dxfId="0" operator="greaterThanOrEqual" stopIfTrue="1">
      <formula>100</formula>
    </cfRule>
    <cfRule type="cellIs" priority="2" dxfId="1" operator="lessThan" stopIfTrue="1">
      <formula>100</formula>
    </cfRule>
  </conditionalFormatting>
  <conditionalFormatting sqref="H33">
    <cfRule type="cellIs" priority="3" dxfId="1" operator="greaterThanOrEqual" stopIfTrue="1">
      <formula>100.01</formula>
    </cfRule>
    <cfRule type="cellIs" priority="4" dxfId="0" operator="lessThan" stopIfTrue="1">
      <formula>100.01</formula>
    </cfRule>
  </conditionalFormatting>
  <dataValidations count="4">
    <dataValidation type="list" allowBlank="1" showInputMessage="1" showErrorMessage="1" promptTitle="Select Material" sqref="G13:G14 C5:G5 G6 D6">
      <formula1>Materials</formula1>
    </dataValidation>
    <dataValidation type="list" allowBlank="1" showInputMessage="1" showErrorMessage="1" sqref="F2">
      <formula1>ConstructionType</formula1>
    </dataValidation>
    <dataValidation allowBlank="1" showInputMessage="1" showErrorMessage="1" promptTitle="Select Material" sqref="F6 C6"/>
    <dataValidation type="list" allowBlank="1" showInputMessage="1" showErrorMessage="1" promptTitle="Select Material" sqref="E6">
      <formula1>Tube_Type</formula1>
    </dataValidation>
  </dataValidations>
  <printOptions/>
  <pageMargins left="0.75" right="0.75" top="1" bottom="1" header="0.5" footer="0.5"/>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6"/>
  <dimension ref="B1:S37"/>
  <sheetViews>
    <sheetView showGridLines="0" zoomScalePageLayoutView="0" workbookViewId="0" topLeftCell="A1">
      <selection activeCell="M9" sqref="M9"/>
    </sheetView>
  </sheetViews>
  <sheetFormatPr defaultColWidth="9.140625" defaultRowHeight="12.75"/>
  <cols>
    <col min="1" max="1" width="3.421875" style="53" customWidth="1"/>
    <col min="2" max="2" width="45.8515625" style="53" customWidth="1"/>
    <col min="3" max="3" width="11.421875" style="53" customWidth="1"/>
    <col min="4" max="4" width="3.57421875" style="76" customWidth="1"/>
    <col min="5" max="10" width="11.7109375" style="53" customWidth="1"/>
    <col min="11" max="11" width="6.140625" style="53" customWidth="1"/>
    <col min="12" max="12" width="8.7109375" style="53" customWidth="1"/>
    <col min="13" max="16384" width="9.140625" style="53" customWidth="1"/>
  </cols>
  <sheetData>
    <row r="1" ht="15.75">
      <c r="B1" s="52" t="s">
        <v>42</v>
      </c>
    </row>
    <row r="2" spans="3:8" ht="12.75">
      <c r="C2" s="270" t="s">
        <v>29</v>
      </c>
      <c r="D2" s="270"/>
      <c r="E2" s="270"/>
      <c r="F2" s="271" t="s">
        <v>30</v>
      </c>
      <c r="G2" s="272"/>
      <c r="H2" s="98" t="s">
        <v>207</v>
      </c>
    </row>
    <row r="3" ht="12.75"/>
    <row r="4" spans="2:10" ht="38.25">
      <c r="B4" s="54" t="s">
        <v>19</v>
      </c>
      <c r="C4" s="54" t="s">
        <v>1</v>
      </c>
      <c r="D4" s="77"/>
      <c r="E4" s="67" t="s">
        <v>37</v>
      </c>
      <c r="F4" s="67" t="s">
        <v>38</v>
      </c>
      <c r="G4" s="67" t="s">
        <v>39</v>
      </c>
      <c r="H4" s="67" t="s">
        <v>36</v>
      </c>
      <c r="I4" s="90" t="s">
        <v>22</v>
      </c>
      <c r="J4" s="67" t="s">
        <v>23</v>
      </c>
    </row>
    <row r="5" spans="2:10" ht="12.75">
      <c r="B5" s="55" t="s">
        <v>34</v>
      </c>
      <c r="C5" s="43" t="s">
        <v>7</v>
      </c>
      <c r="E5" s="32"/>
      <c r="F5" s="32"/>
      <c r="G5" s="32"/>
      <c r="H5" s="78"/>
      <c r="I5" s="50"/>
      <c r="J5" s="78"/>
    </row>
    <row r="6" spans="2:10" ht="12.75">
      <c r="B6" s="55" t="s">
        <v>50</v>
      </c>
      <c r="C6" s="43" t="s">
        <v>48</v>
      </c>
      <c r="E6" s="32"/>
      <c r="F6" s="32"/>
      <c r="G6" s="32"/>
      <c r="H6" s="80"/>
      <c r="I6" s="79" t="s">
        <v>24</v>
      </c>
      <c r="J6" s="80"/>
    </row>
    <row r="7" spans="2:10" ht="12.75">
      <c r="B7" s="56" t="s">
        <v>20</v>
      </c>
      <c r="C7" s="45" t="str">
        <f>HLOOKUP(C5,MaterialData!$C$3:$K$4,2,FALSE)</f>
        <v>Steel</v>
      </c>
      <c r="D7" s="81"/>
      <c r="E7" s="45" t="e">
        <f>HLOOKUP(E5,MaterialData!$C$3:$K$4,2,FALSE)</f>
        <v>#N/A</v>
      </c>
      <c r="F7" s="45" t="e">
        <f>HLOOKUP(F5,MaterialData!$C$3:$K$4,2,FALSE)</f>
        <v>#N/A</v>
      </c>
      <c r="G7" s="45" t="e">
        <f>HLOOKUP(G5,MaterialData!$C$3:$K$4,2,FALSE)</f>
        <v>#N/A</v>
      </c>
      <c r="H7" s="82"/>
      <c r="I7" s="45" t="e">
        <f>HLOOKUP(I5,MaterialData!$C$3:$K$4,2,FALSE)</f>
        <v>#N/A</v>
      </c>
      <c r="J7" s="82"/>
    </row>
    <row r="8" spans="2:15" ht="12.75">
      <c r="B8" s="56" t="s">
        <v>21</v>
      </c>
      <c r="C8" s="45">
        <f>INDEX(Innertable,MATCH($B8,MaterialData!$B$5:$B$10,0),MATCH(C$7,MaterialData!$C$4:$K$4,0))</f>
        <v>200000000000</v>
      </c>
      <c r="D8" s="81"/>
      <c r="E8" s="45" t="e">
        <f>INDEX(Innertable,MATCH($B8,MaterialData!$B$5:$B$10,0),MATCH(E$7,MaterialData!$C$4:$K$4,0))</f>
        <v>#N/A</v>
      </c>
      <c r="F8" s="45" t="e">
        <f>INDEX(Innertable,MATCH($B8,MaterialData!$B$5:$B$10,0),MATCH(F$7,MaterialData!$C$4:$K$4,0))</f>
        <v>#N/A</v>
      </c>
      <c r="G8" s="45" t="e">
        <f>INDEX(Innertable,MATCH($B8,MaterialData!$B$5:$B$10,0),MATCH(G$7,MaterialData!$C$4:$K$4,0))</f>
        <v>#N/A</v>
      </c>
      <c r="H8" s="82"/>
      <c r="I8" s="45" t="e">
        <f>INDEX(Innertable,MATCH($B8,MaterialData!$B$5:$B$10,0),MATCH(I$7,MaterialData!$C$4:$K$4,0))</f>
        <v>#N/A</v>
      </c>
      <c r="J8" s="82"/>
      <c r="O8" s="57"/>
    </row>
    <row r="9" spans="2:15" ht="12.75">
      <c r="B9" s="56" t="s">
        <v>10</v>
      </c>
      <c r="C9" s="45">
        <f>INDEX(Innertable,MATCH($B9,MaterialData!$B$5:$B$10,0),MATCH(C$7,MaterialData!$C$4:$K$4,0))</f>
        <v>305000000</v>
      </c>
      <c r="D9" s="81"/>
      <c r="E9" s="45" t="e">
        <f>INDEX(Innertable,MATCH($B9,MaterialData!$B$5:$B$10,0),MATCH(E$7,MaterialData!$C$4:$K$4,0))</f>
        <v>#N/A</v>
      </c>
      <c r="F9" s="45" t="e">
        <f>INDEX(Innertable,MATCH($B9,MaterialData!$B$5:$B$10,0),MATCH(F$7,MaterialData!$C$4:$K$4,0))</f>
        <v>#N/A</v>
      </c>
      <c r="G9" s="45" t="e">
        <f>INDEX(Innertable,MATCH($B9,MaterialData!$B$5:$B$10,0),MATCH(G$7,MaterialData!$C$4:$K$4,0))</f>
        <v>#N/A</v>
      </c>
      <c r="H9" s="82"/>
      <c r="I9" s="45" t="e">
        <f>INDEX(Innertable,MATCH($B9,MaterialData!$B$5:$B$10,0),MATCH(I$7,MaterialData!$C$4:$K$4,0))</f>
        <v>#N/A</v>
      </c>
      <c r="J9" s="82"/>
      <c r="O9" s="57"/>
    </row>
    <row r="10" spans="2:15" ht="12.75">
      <c r="B10" s="56" t="s">
        <v>11</v>
      </c>
      <c r="C10" s="45">
        <f>INDEX(Innertable,MATCH($B10,MaterialData!$B$5:$B$10,0),MATCH(C$7,MaterialData!$C$4:$K$4,0))</f>
        <v>365000000</v>
      </c>
      <c r="D10" s="81"/>
      <c r="E10" s="45" t="e">
        <f>INDEX(Innertable,MATCH($B10,MaterialData!$B$5:$B$10,0),MATCH(E$7,MaterialData!$C$4:$K$4,0))</f>
        <v>#N/A</v>
      </c>
      <c r="F10" s="45" t="e">
        <f>INDEX(Innertable,MATCH($B10,MaterialData!$B$5:$B$10,0),MATCH(F$7,MaterialData!$C$4:$K$4,0))</f>
        <v>#N/A</v>
      </c>
      <c r="G10" s="45" t="e">
        <f>INDEX(Innertable,MATCH($B10,MaterialData!$B$5:$B$10,0),MATCH(G$7,MaterialData!$C$4:$K$4,0))</f>
        <v>#N/A</v>
      </c>
      <c r="H10" s="82"/>
      <c r="I10" s="45" t="e">
        <f>INDEX(Innertable,MATCH($B10,MaterialData!$B$5:$B$10,0),MATCH(I$7,MaterialData!$C$4:$K$4,0))</f>
        <v>#N/A</v>
      </c>
      <c r="J10" s="82"/>
      <c r="O10" s="57"/>
    </row>
    <row r="11" spans="2:15" ht="12.75">
      <c r="B11" s="56" t="s">
        <v>9</v>
      </c>
      <c r="C11" s="45">
        <f>INDEX(Innertable,MATCH($B11,MaterialData!$B$5:$B$10,0),MATCH(C$7,MaterialData!$C$4:$K$4,0))</f>
        <v>180000000</v>
      </c>
      <c r="D11" s="81"/>
      <c r="E11" s="45" t="e">
        <f>INDEX(Innertable,MATCH($B11,MaterialData!$B$5:$B$10,0),MATCH(E$7,MaterialData!$C$4:$K$4,0))</f>
        <v>#N/A</v>
      </c>
      <c r="F11" s="45" t="e">
        <f>INDEX(Innertable,MATCH($B11,MaterialData!$B$5:$B$10,0),MATCH(F$7,MaterialData!$C$4:$K$4,0))</f>
        <v>#N/A</v>
      </c>
      <c r="G11" s="45" t="e">
        <f>INDEX(Innertable,MATCH($B11,MaterialData!$B$5:$B$10,0),MATCH(G$7,MaterialData!$C$4:$K$4,0))</f>
        <v>#N/A</v>
      </c>
      <c r="H11" s="82"/>
      <c r="I11" s="45" t="e">
        <f>INDEX(Innertable,MATCH($B11,MaterialData!$B$5:$B$10,0),MATCH(I$7,MaterialData!$C$4:$K$4,0))</f>
        <v>#N/A</v>
      </c>
      <c r="J11" s="82"/>
      <c r="O11" s="57"/>
    </row>
    <row r="12" spans="2:15" ht="12.75">
      <c r="B12" s="56" t="s">
        <v>8</v>
      </c>
      <c r="C12" s="45">
        <f>INDEX(Innertable,MATCH($B12,MaterialData!$B$5:$B$10,0),MATCH(C$7,MaterialData!$C$4:$K$4,0))</f>
        <v>300000000</v>
      </c>
      <c r="D12" s="81"/>
      <c r="E12" s="45" t="e">
        <f>INDEX(Innertable,MATCH($B12,MaterialData!$B$5:$B$10,0),MATCH(E$7,MaterialData!$C$4:$K$4,0))</f>
        <v>#N/A</v>
      </c>
      <c r="F12" s="45" t="e">
        <f>INDEX(Innertable,MATCH($B12,MaterialData!$B$5:$B$10,0),MATCH(F$7,MaterialData!$C$4:$K$4,0))</f>
        <v>#N/A</v>
      </c>
      <c r="G12" s="45" t="e">
        <f>INDEX(Innertable,MATCH($B12,MaterialData!$B$5:$B$10,0),MATCH(G$7,MaterialData!$C$4:$K$4,0))</f>
        <v>#N/A</v>
      </c>
      <c r="H12" s="82"/>
      <c r="I12" s="45" t="e">
        <f>INDEX(Innertable,MATCH($B12,MaterialData!$B$5:$B$10,0),MATCH(I$7,MaterialData!$C$4:$K$4,0))</f>
        <v>#N/A</v>
      </c>
      <c r="J12" s="82"/>
      <c r="O12" s="57"/>
    </row>
    <row r="13" spans="3:15" ht="12.75">
      <c r="C13" s="76"/>
      <c r="D13" s="53"/>
      <c r="E13" s="91"/>
      <c r="F13" s="76"/>
      <c r="G13" s="73"/>
      <c r="H13" s="80"/>
      <c r="J13" s="80"/>
      <c r="O13" s="57"/>
    </row>
    <row r="14" spans="2:15" ht="12.75">
      <c r="B14" s="56" t="s">
        <v>35</v>
      </c>
      <c r="C14" s="43">
        <v>3</v>
      </c>
      <c r="D14" s="53"/>
      <c r="E14" s="32"/>
      <c r="F14" s="32"/>
      <c r="G14" s="32"/>
      <c r="H14" s="80"/>
      <c r="J14" s="80"/>
      <c r="O14" s="57"/>
    </row>
    <row r="15" spans="2:15" ht="12.75">
      <c r="B15" s="56" t="s">
        <v>114</v>
      </c>
      <c r="C15" s="43">
        <v>25.4</v>
      </c>
      <c r="E15" s="32"/>
      <c r="F15" s="32"/>
      <c r="G15" s="32"/>
      <c r="H15" s="80"/>
      <c r="I15" s="76"/>
      <c r="J15" s="80"/>
      <c r="O15" s="57"/>
    </row>
    <row r="16" spans="2:15" ht="12.75">
      <c r="B16" s="56" t="s">
        <v>115</v>
      </c>
      <c r="C16" s="43">
        <v>1.25</v>
      </c>
      <c r="E16" s="32"/>
      <c r="F16" s="32"/>
      <c r="G16" s="32"/>
      <c r="H16" s="80"/>
      <c r="I16" s="76"/>
      <c r="J16" s="80"/>
      <c r="O16" s="57"/>
    </row>
    <row r="17" spans="2:15" ht="12.75">
      <c r="B17" s="76"/>
      <c r="C17" s="76"/>
      <c r="E17" s="92"/>
      <c r="F17" s="93" t="s">
        <v>105</v>
      </c>
      <c r="G17" s="63" t="e">
        <f>IF(AND(K26&gt;=100,F2="tubing only",NOT(OR(E18="NO",F18="NO",G18="NO"))),"YES","NO")</f>
        <v>#VALUE!</v>
      </c>
      <c r="H17" s="80"/>
      <c r="I17" s="76"/>
      <c r="J17" s="80"/>
      <c r="O17" s="57"/>
    </row>
    <row r="18" spans="2:15" ht="12.75">
      <c r="B18" s="75" t="s">
        <v>25</v>
      </c>
      <c r="C18" s="76"/>
      <c r="E18" s="113" t="str">
        <f>IF(E14=0,"N/A",IF(AND(E5=$C$5,OR(AND(E15&gt;=25.4,E15&lt;26,E16&gt;=1.25),AND(E15&gt;=26,E16&gt;=1.2),AND(E15&gt;=25,E15&lt;25.4,E16&gt;=1.5))),"YES","NO"))</f>
        <v>N/A</v>
      </c>
      <c r="F18" s="114" t="str">
        <f>IF(F14=0,"N/A",IF(AND(F5=$C$5,OR(AND(F15&gt;=25.4,F15&lt;26,F16&gt;=1.25),AND(F15&gt;=26,F16&gt;=1.2),AND(F15&gt;=25,F15&lt;25.4,F16&gt;=1.5))),"YES","NO"))</f>
        <v>N/A</v>
      </c>
      <c r="G18" s="115" t="str">
        <f>IF(G14=0,"N/A",IF(AND(G5=$C$5,OR(AND(G15&gt;=25.4,G15&lt;26,G16&gt;=1.25),AND(G15&gt;=26,G16&gt;=1.2),AND(G15&gt;=25,G15&lt;25.4,G16&gt;=1.5))),"YES","NO"))</f>
        <v>N/A</v>
      </c>
      <c r="H18" s="80"/>
      <c r="I18" s="50"/>
      <c r="J18" s="80"/>
      <c r="O18" s="57"/>
    </row>
    <row r="19" spans="2:15" ht="12.75">
      <c r="B19" s="75" t="s">
        <v>26</v>
      </c>
      <c r="C19" s="76"/>
      <c r="E19" s="290">
        <f>IF(OR(AND(E14&gt;0,E15=26,E16=1.2),AND(F14&gt;0,F15=26,F16=1.2),AND(G14&gt;0,G15=26,G16=1.2)),"Please ignore red cells, round 26x1.2mm tubes are equivalent","")</f>
      </c>
      <c r="F19" s="291"/>
      <c r="G19" s="292"/>
      <c r="H19" s="80"/>
      <c r="I19" s="50"/>
      <c r="J19" s="80"/>
      <c r="O19" s="57"/>
    </row>
    <row r="20" spans="2:15" ht="12.75">
      <c r="B20" s="75" t="s">
        <v>27</v>
      </c>
      <c r="E20" s="290"/>
      <c r="F20" s="291"/>
      <c r="G20" s="292"/>
      <c r="H20" s="80"/>
      <c r="I20" s="83">
        <f>(I18-I19)/2</f>
        <v>0</v>
      </c>
      <c r="J20" s="80"/>
      <c r="O20" s="57"/>
    </row>
    <row r="21" spans="2:15" ht="12.75">
      <c r="B21" s="75" t="s">
        <v>28</v>
      </c>
      <c r="E21" s="290"/>
      <c r="F21" s="291"/>
      <c r="G21" s="292"/>
      <c r="H21" s="80"/>
      <c r="I21" s="50"/>
      <c r="J21" s="80"/>
      <c r="O21" s="57"/>
    </row>
    <row r="22" spans="2:15" ht="12.75">
      <c r="B22" s="76"/>
      <c r="C22" s="76"/>
      <c r="E22" s="94"/>
      <c r="F22" s="95"/>
      <c r="G22" s="96"/>
      <c r="H22" s="80"/>
      <c r="I22" s="76"/>
      <c r="J22" s="80"/>
      <c r="O22" s="57"/>
    </row>
    <row r="23" spans="2:15" ht="12.75">
      <c r="B23" s="56" t="s">
        <v>4</v>
      </c>
      <c r="C23" s="43">
        <f>C15/1000</f>
        <v>0.0254</v>
      </c>
      <c r="E23" s="43" t="str">
        <f>IF($F$2="composite only","No tubes",IF(E14=0,"No tubes",E15/1000))</f>
        <v>No tubes</v>
      </c>
      <c r="F23" s="43" t="str">
        <f>IF($F$2="composite only","No tubes",IF(F14=0,"No tubes",F15/1000))</f>
        <v>No tubes</v>
      </c>
      <c r="G23" s="43" t="str">
        <f>IF($F$2="composite only","No tubes",IF(G14=0,"No tubes",G15/1000))</f>
        <v>No tubes</v>
      </c>
      <c r="H23" s="80"/>
      <c r="I23" s="76"/>
      <c r="J23" s="80"/>
      <c r="O23" s="57"/>
    </row>
    <row r="24" spans="2:19" ht="12.75">
      <c r="B24" s="56" t="s">
        <v>107</v>
      </c>
      <c r="C24" s="43">
        <f>C16/1000</f>
        <v>0.00125</v>
      </c>
      <c r="E24" s="43">
        <f>IF(E23="no tubes","",IF(E14=0,"",E16/1000))</f>
      </c>
      <c r="F24" s="43">
        <f>IF(F23="no tubes","",IF(F14=0,"",F16/1000))</f>
      </c>
      <c r="G24" s="43">
        <f>IF(G23="no tubes","",IF(G14=0,"",G16/1000))</f>
      </c>
      <c r="H24" s="84"/>
      <c r="I24" s="76"/>
      <c r="J24" s="84"/>
      <c r="O24" s="57"/>
      <c r="S24" s="58"/>
    </row>
    <row r="25" spans="2:19" ht="12.75">
      <c r="B25" s="56" t="s">
        <v>3</v>
      </c>
      <c r="C25" s="45">
        <f>IF(C6="Round",((C23)^4-((C23-2*C24))^4)*3.142/64,((C23)^4-((C23-2*C24))^4)/12)</f>
        <v>6.933293195390622E-09</v>
      </c>
      <c r="E25" s="45">
        <f>IF(E23="no tubes","",IF(E14=0,"",IF(E6="Round",(((E23)^4-((E23-2*E24))^4)*3.142/64),IF(E6="Square",(((E23)^4-((E23-2*E24))^4)/12),""))))</f>
      </c>
      <c r="F25" s="45">
        <f>IF(F23="no tubes","",IF(F14=0,"",IF(F6="Round",(((F23)^4-((F23-2*F24))^4)*3.142/64),IF(F6="Square",(((F23)^4-((F23-2*F24))^4)/12),""))))</f>
      </c>
      <c r="G25" s="45">
        <f>IF(G23="no tubes","",IF(G14=0,"",IF(G6="Round",(((G23)^4-((G23-2*G24))^4)*3.142/64),IF(G6="Square",(((G23)^4-((G23-2*G24))^4)/12),""))))</f>
      </c>
      <c r="H25" s="45">
        <f>IF(SUM(E25:G25)&gt;0,SUM(E25:G25),"")</f>
      </c>
      <c r="I25" s="86" t="str">
        <f>IF($F$2="Tubing only","Tubing Only",(I21/1000)*((I18/1000)^3-(I19/1000)^3)/12)</f>
        <v>Tubing Only</v>
      </c>
      <c r="J25" s="45">
        <f aca="true" t="shared" si="0" ref="J25:J34">IF($F$2="Tubing only",H25,IF($F$2="Composite only",I25,IF($F$2="Tubes + Composite",H25+I25,"No Type Selected")))</f>
      </c>
      <c r="O25" s="57"/>
      <c r="R25" s="57"/>
      <c r="S25" s="58"/>
    </row>
    <row r="26" spans="2:12" ht="12.75">
      <c r="B26" s="56" t="s">
        <v>0</v>
      </c>
      <c r="C26" s="45">
        <f>C8*C25*C14</f>
        <v>4159.975917234373</v>
      </c>
      <c r="D26" s="81"/>
      <c r="E26" s="45">
        <f>IF(E23="no tubes","",IF(E14=0,"",E8*E25*E14))</f>
      </c>
      <c r="F26" s="45">
        <f>IF(F23="no tubes","",IF(F14=0,"",F8*F25*F14))</f>
      </c>
      <c r="G26" s="45">
        <f>IF(G23="no tubes","",IF(G14=0,"",G8*G25*G14))</f>
      </c>
      <c r="H26" s="45">
        <f aca="true" t="shared" si="1" ref="H26:H34">IF(SUM(E26:G26)&gt;0,SUM(E26:G26),"")</f>
      </c>
      <c r="I26" s="86">
        <f>IF(I25="Tubing Only","",I25*I8)</f>
      </c>
      <c r="J26" s="45">
        <f t="shared" si="0"/>
      </c>
      <c r="K26" s="51" t="e">
        <f>IF(AND(NOT($F$2="tubes + composite"),OR(AND($G$14&gt;0,G26&lt;(C26/3)),AND($F$14&gt;0,F26&lt;(C26/3)),AND($E$14&gt;0,E26&lt;(C26/3)))),0,100*J26/C26)</f>
        <v>#VALUE!</v>
      </c>
      <c r="L26" s="53" t="e">
        <f>IF((99.9&gt;K26)*AND(K26&gt;33.3),"For composites FEA can be used to prove this","")</f>
        <v>#VALUE!</v>
      </c>
    </row>
    <row r="27" spans="2:18" ht="12.75">
      <c r="B27" s="56" t="s">
        <v>108</v>
      </c>
      <c r="C27" s="46">
        <f>IF(C23="no tubes","",IF(C14=0,"",IF(C6="Round",C14*((C15^2-(C15-2*C16)^2)*PI()/4),IF(C6="Square",C14*(C15^2-(C15-2*C16)^2),""))))</f>
        <v>284.51048469072566</v>
      </c>
      <c r="D27" s="97"/>
      <c r="E27" s="46">
        <f>IF(E23="no tubes","",IF(E14=0,"",IF(E6="Round",E14*((E15^2-(E15-2*E16)^2)*PI()/4),IF(E6="Square",E14*(E15^2-(E15-2*E16)^2),""))))</f>
      </c>
      <c r="F27" s="46">
        <f>IF(F23="no tubes","",IF(F14=0,"",IF(F6="Round",F14*((F15^2-(F15-2*F16)^2)*PI()/4),IF(F6="Square",F14*(F15^2-(F15-2*F16)^2),""))))</f>
      </c>
      <c r="G27" s="46">
        <f>IF(G23="no tubes","",IF(G14=0,"",IF(G6="Round",G14*((G15^2-(G15-2*G16)^2)*PI()/4),IF(G6="Square",G14*(G15^2-(G15-2*G16)^2),""))))</f>
      </c>
      <c r="H27" s="46">
        <f t="shared" si="1"/>
      </c>
      <c r="I27" s="46">
        <f>IF(I25="Tubing Only","",(I18-I19)*I21)</f>
      </c>
      <c r="J27" s="46">
        <f t="shared" si="0"/>
      </c>
      <c r="K27" s="51" t="str">
        <f>IF(AND($F$2="tubing only",AND(E5="steel",F5="steel",G5="steel")),100*J27/C27,"NA")</f>
        <v>NA</v>
      </c>
      <c r="L27" s="53">
        <f>IF(AND(95&lt;K27,K27&lt;100),"For tubes only, provided your actual tube measures &gt;= your nominal OD and wall this is OK","")</f>
      </c>
      <c r="R27" s="57"/>
    </row>
    <row r="28" spans="2:12" ht="12.75">
      <c r="B28" s="56" t="s">
        <v>109</v>
      </c>
      <c r="C28" s="45">
        <f>C$27*C9/1000000</f>
        <v>86775.69783067133</v>
      </c>
      <c r="D28" s="81"/>
      <c r="E28" s="45">
        <f>IF(E23="no tubes","",IF(E14=0,"",E$27*E9/1000000))</f>
      </c>
      <c r="F28" s="45">
        <f>IF(F23="no tubes","",IF(F14=0,"",F$27*F9/1000000))</f>
      </c>
      <c r="G28" s="45">
        <f>IF(G23="no tubes","",IF(G14=0,"",G$27*G9/1000000))</f>
      </c>
      <c r="H28" s="45">
        <f t="shared" si="1"/>
      </c>
      <c r="I28" s="45">
        <f>IF(I25="Tubing Only","",I27*I9/1000000)</f>
      </c>
      <c r="J28" s="45">
        <f t="shared" si="0"/>
      </c>
      <c r="K28" s="51" t="e">
        <f>IF(AND($F$2="tubing only",OR($E$35&lt;$C$35,$F$35&lt;$C$35,$G$35&lt;$C$35)),0,100*J28/C28)</f>
        <v>#VALUE!</v>
      </c>
      <c r="L28" s="53" t="e">
        <f>IF(AND(95&lt;K28,K28&lt;100),"For tubes only, provided your actual tube measures &gt;= your nominal OD and wall this is OK","")</f>
        <v>#VALUE!</v>
      </c>
    </row>
    <row r="29" spans="2:18" ht="12.75">
      <c r="B29" s="56" t="s">
        <v>5</v>
      </c>
      <c r="C29" s="45">
        <f>C$27*C10/1000000</f>
        <v>103846.32691211486</v>
      </c>
      <c r="D29" s="81"/>
      <c r="E29" s="45">
        <f>IF(E23="no tubes","",IF(E14=0,"",E$27*E10/1000000))</f>
      </c>
      <c r="F29" s="45">
        <f>IF(F23="no tubes","",IF(F14=0,"",F$27*F10/1000000))</f>
      </c>
      <c r="G29" s="45">
        <f>IF(G23="no tubes","",IF(G14=0,"",G$27*G10/1000000))</f>
      </c>
      <c r="H29" s="45">
        <f t="shared" si="1"/>
      </c>
      <c r="I29" s="45">
        <f>IF(I25="Tubing Only","",I27*I10/1000000)</f>
      </c>
      <c r="J29" s="45">
        <f t="shared" si="0"/>
      </c>
      <c r="K29" s="51" t="e">
        <f aca="true" t="shared" si="2" ref="K29:K34">IF(AND($F$2="tubing only",OR($E$35&lt;$C$35,$F$35&lt;$C$35,$G$35&lt;$C$35)),0,100*J29/C29)</f>
        <v>#VALUE!</v>
      </c>
      <c r="L29" s="53" t="e">
        <f>IF(AND(95&lt;K29,K29&lt;100),"For tubes only, provided your actual tube measures &gt;= your nominal OD and wall this is OK","")</f>
        <v>#VALUE!</v>
      </c>
      <c r="R29" s="57"/>
    </row>
    <row r="30" spans="2:18" ht="12.75">
      <c r="B30" s="56" t="s">
        <v>110</v>
      </c>
      <c r="C30" s="45">
        <f>C$27*C11/1000000</f>
        <v>51211.88724433062</v>
      </c>
      <c r="D30" s="81"/>
      <c r="E30" s="45">
        <f>IF(E23="no tubes","",IF(E14=0,"",E$27*E11/1000000))</f>
      </c>
      <c r="F30" s="45">
        <f>IF(F23="no tubes","",IF(F14=0,"",F$27*F11/1000000))</f>
      </c>
      <c r="G30" s="45">
        <f>IF(G23="no tubes","",IF(G14=0,"",G$27*G11/1000000))</f>
      </c>
      <c r="H30" s="45">
        <f t="shared" si="1"/>
      </c>
      <c r="I30" s="45">
        <f>IF(I25="Tubing Only","",I27*I9/1000000)</f>
      </c>
      <c r="J30" s="45">
        <f t="shared" si="0"/>
      </c>
      <c r="K30" s="51" t="e">
        <f t="shared" si="2"/>
        <v>#VALUE!</v>
      </c>
      <c r="L30" s="53" t="e">
        <f>IF(AND(95&lt;K30,K30&lt;100),"For tubes only, provided your actual tube measures &gt;= your nominal OD and wall this is OK","")</f>
        <v>#VALUE!</v>
      </c>
      <c r="R30" s="57"/>
    </row>
    <row r="31" spans="2:18" ht="12.75">
      <c r="B31" s="56" t="s">
        <v>6</v>
      </c>
      <c r="C31" s="45">
        <f>IF(C14=0,"",C$27*C12/1000000)</f>
        <v>85353.1454072177</v>
      </c>
      <c r="D31" s="81"/>
      <c r="E31" s="45">
        <f>IF(E23="no tubes","",IF(E14=0,"",E$27*E12/1000000))</f>
      </c>
      <c r="F31" s="45">
        <f>IF(F23="no tubes","",IF(F14=0,"",F$27*F12/1000000))</f>
      </c>
      <c r="G31" s="45">
        <f>IF(G23="no tubes","",IF(G14=0,"",G$27*G12/1000000))</f>
      </c>
      <c r="H31" s="45">
        <f t="shared" si="1"/>
      </c>
      <c r="I31" s="45">
        <f>IF(I25="tubing only","",I27*I10/1000000)</f>
      </c>
      <c r="J31" s="45">
        <f t="shared" si="0"/>
      </c>
      <c r="K31" s="51" t="e">
        <f t="shared" si="2"/>
        <v>#VALUE!</v>
      </c>
      <c r="L31" s="53" t="e">
        <f>IF(AND(95&lt;K31,K31&lt;100),"For tubes only, provided your actual tube measures &gt;= your nominal OD and wall this is OK","")</f>
        <v>#VALUE!</v>
      </c>
      <c r="R31" s="57"/>
    </row>
    <row r="32" spans="2:12" ht="12.75">
      <c r="B32" s="56" t="s">
        <v>111</v>
      </c>
      <c r="C32" s="45">
        <f>C14*4*C10*C25/(0.5*C23*1)</f>
        <v>2391.1672595126715</v>
      </c>
      <c r="E32" s="45">
        <f>IF(E23="no tubes","",IF(E14=0,"",E14*4*E10*E25/(0.5*E23*1)))</f>
      </c>
      <c r="F32" s="45">
        <f>IF(F23="no tubes","",IF(F14=0,"",F14*4*F10*F25/(0.5*F23*1)))</f>
      </c>
      <c r="G32" s="45">
        <f>IF(G23="no tubes","",IF(G14=0,"",G14*4*G10*G25/(0.5*G23*1)))</f>
      </c>
      <c r="H32" s="45">
        <f t="shared" si="1"/>
      </c>
      <c r="I32" s="45">
        <f>IF(I25="tubing only","",4*I10*(I25*2/(I18/1000))/1)</f>
      </c>
      <c r="J32" s="45">
        <f t="shared" si="0"/>
      </c>
      <c r="K32" s="51" t="e">
        <f t="shared" si="2"/>
        <v>#VALUE!</v>
      </c>
      <c r="L32" s="53" t="e">
        <f>IF((99.9&gt;K32)*AND(K32&gt;33.3),"For composites FEA can be used to prove this","")</f>
        <v>#VALUE!</v>
      </c>
    </row>
    <row r="33" spans="2:13" ht="12.75">
      <c r="B33" s="56" t="s">
        <v>112</v>
      </c>
      <c r="C33" s="45">
        <f>IF(C14=0,"",C32*1^3/(48*C26))</f>
        <v>0.011975065616797903</v>
      </c>
      <c r="E33" s="45">
        <f>IF(E23="no tubes","",IF(E14=0,"",($C$32*1^3/(48*E26))))</f>
      </c>
      <c r="F33" s="45">
        <f>IF(F23="no tubes","",IF(F14=0,"",($C$32*1^3/(48*F26))))</f>
      </c>
      <c r="G33" s="45">
        <f>IF(G23="no tubes","",IF(G14=0,"",($C$32*1^3/(48*G26))))</f>
      </c>
      <c r="H33" s="45" t="e">
        <f>IF(F2="composite only","",$C$32*1^3/(48*H26))</f>
        <v>#VALUE!</v>
      </c>
      <c r="I33" s="45">
        <f>IF(NOT($F$2="tubing only"),$C$32*1^3/(48*I26),"")</f>
      </c>
      <c r="J33" s="45" t="e">
        <f>IF($F$2="Tubing only",H33,IF($F$2="Composite only",I33,IF($F$2="Tubes + Composite",$C$32*1^3/(48*J26),"No Type Selected")))</f>
        <v>#VALUE!</v>
      </c>
      <c r="K33" s="51" t="e">
        <f>IF(AND($F$2="tubing only",OR($E$35&lt;$C$35,$F$35&lt;$C$35,$G$35&lt;$C$35)),101,100*J33/C33)</f>
        <v>#VALUE!</v>
      </c>
      <c r="L33" s="53" t="e">
        <f>IF((100.1&lt;K33)*AND(K33&lt;300.1),"For composites FEA can be used to prove this","")</f>
        <v>#VALUE!</v>
      </c>
      <c r="M33" s="57"/>
    </row>
    <row r="34" spans="2:12" ht="12.75">
      <c r="B34" s="56" t="s">
        <v>113</v>
      </c>
      <c r="C34" s="45">
        <f>0.5*C32*(C32*1^3/(48*C26))</f>
        <v>14.31719241670153</v>
      </c>
      <c r="E34" s="45">
        <f>IF(E23="no tubes","",0.5*E32*(E32*1^3/(48*E26)))</f>
      </c>
      <c r="F34" s="45">
        <f>IF(F23="no tubes","",0.5*F32*(F32*1^3/(48*F26)))</f>
      </c>
      <c r="G34" s="45">
        <f>IF(G23="no tubes","",0.5*G32*(G32*1^3/(48*G26)))</f>
      </c>
      <c r="H34" s="45">
        <f t="shared" si="1"/>
      </c>
      <c r="I34" s="45">
        <f>IF(I25="tubing only","",0.5*I32*(I32*1^3/(48*I26)))</f>
      </c>
      <c r="J34" s="45">
        <f t="shared" si="0"/>
      </c>
      <c r="K34" s="51" t="e">
        <f t="shared" si="2"/>
        <v>#VALUE!</v>
      </c>
      <c r="L34" s="53" t="e">
        <f>IF((99.9&gt;K34)*AND(K34&gt;33.3),"For composites FEA can be used to prove this","")</f>
        <v>#VALUE!</v>
      </c>
    </row>
    <row r="35" spans="3:8" ht="12.75">
      <c r="C35" s="139">
        <f>0.99*C26/C14</f>
        <v>1372.7920526873431</v>
      </c>
      <c r="D35" s="140"/>
      <c r="E35" s="139">
        <f>IF(AND($F$2="tubing only",E14&gt;0),E26/E14,9E+99)</f>
        <v>9E+99</v>
      </c>
      <c r="F35" s="139">
        <f>IF(AND($F$2="tubing only",F14&gt;0),F26/F14,9E+99)</f>
        <v>9E+99</v>
      </c>
      <c r="G35" s="139">
        <f>IF(AND($F$2="tubing only",G14&gt;0),G26/G14,9E+99)</f>
        <v>9E+99</v>
      </c>
      <c r="H35" s="120"/>
    </row>
    <row r="36" ht="12.75">
      <c r="B36" s="98" t="s">
        <v>100</v>
      </c>
    </row>
    <row r="37" ht="12.75">
      <c r="E37" s="57"/>
    </row>
  </sheetData>
  <sheetProtection password="DCC8" sheet="1"/>
  <mergeCells count="3">
    <mergeCell ref="C2:E2"/>
    <mergeCell ref="F2:G2"/>
    <mergeCell ref="E19:G21"/>
  </mergeCells>
  <conditionalFormatting sqref="K27:K31">
    <cfRule type="cellIs" priority="37" dxfId="0" operator="greaterThanOrEqual" stopIfTrue="1">
      <formula>100</formula>
    </cfRule>
    <cfRule type="cellIs" priority="38" dxfId="1" operator="lessThan" stopIfTrue="1">
      <formula>100</formula>
    </cfRule>
  </conditionalFormatting>
  <conditionalFormatting sqref="K33">
    <cfRule type="cellIs" priority="1" dxfId="23" operator="between" stopIfTrue="1">
      <formula>100.1</formula>
      <formula>300</formula>
    </cfRule>
    <cfRule type="cellIs" priority="39" dxfId="1" operator="greaterThan" stopIfTrue="1">
      <formula>300</formula>
    </cfRule>
    <cfRule type="cellIs" priority="40" dxfId="0" operator="lessThanOrEqual" stopIfTrue="1">
      <formula>100</formula>
    </cfRule>
  </conditionalFormatting>
  <conditionalFormatting sqref="K26">
    <cfRule type="cellIs" priority="41" dxfId="0" operator="greaterThanOrEqual" stopIfTrue="1">
      <formula>100</formula>
    </cfRule>
    <cfRule type="cellIs" priority="42" dxfId="1" operator="lessThan" stopIfTrue="1">
      <formula>33.3</formula>
    </cfRule>
    <cfRule type="cellIs" priority="43" dxfId="10" operator="between" stopIfTrue="1">
      <formula>33.3</formula>
      <formula>100</formula>
    </cfRule>
  </conditionalFormatting>
  <conditionalFormatting sqref="E26:G32 E34:G34">
    <cfRule type="cellIs" priority="29" dxfId="16" operator="lessThan" stopIfTrue="1">
      <formula>0.95*$C26*(E$14/$C$14)</formula>
    </cfRule>
  </conditionalFormatting>
  <conditionalFormatting sqref="E33:G33">
    <cfRule type="cellIs" priority="28" dxfId="16" operator="greaterThan" stopIfTrue="1">
      <formula>1.05*$C33*($C$14/E$14)</formula>
    </cfRule>
  </conditionalFormatting>
  <conditionalFormatting sqref="K32">
    <cfRule type="cellIs" priority="8" dxfId="0" operator="greaterThanOrEqual" stopIfTrue="1">
      <formula>100</formula>
    </cfRule>
    <cfRule type="cellIs" priority="9" dxfId="1" operator="lessThan" stopIfTrue="1">
      <formula>33.3</formula>
    </cfRule>
    <cfRule type="cellIs" priority="10" dxfId="10" operator="between" stopIfTrue="1">
      <formula>33.3</formula>
      <formula>100</formula>
    </cfRule>
  </conditionalFormatting>
  <conditionalFormatting sqref="K34">
    <cfRule type="cellIs" priority="2" dxfId="0" operator="greaterThanOrEqual" stopIfTrue="1">
      <formula>100</formula>
    </cfRule>
    <cfRule type="cellIs" priority="3" dxfId="1" operator="lessThan" stopIfTrue="1">
      <formula>33.3</formula>
    </cfRule>
    <cfRule type="cellIs" priority="4" dxfId="10" operator="between" stopIfTrue="1">
      <formula>33.3</formula>
      <formula>100</formula>
    </cfRule>
  </conditionalFormatting>
  <dataValidations count="4">
    <dataValidation type="list" allowBlank="1" showInputMessage="1" showErrorMessage="1" sqref="F2">
      <formula1>ConstructionType</formula1>
    </dataValidation>
    <dataValidation type="list" allowBlank="1" showInputMessage="1" showErrorMessage="1" promptTitle="Select Material" sqref="J13:J14 C5:J5 J6 H6 D6">
      <formula1>Materials</formula1>
    </dataValidation>
    <dataValidation allowBlank="1" showInputMessage="1" showErrorMessage="1" promptTitle="Select Material" sqref="C6 I6"/>
    <dataValidation type="list" allowBlank="1" showInputMessage="1" showErrorMessage="1" promptTitle="Select Material" sqref="E6:G6">
      <formula1>Tube_Type</formula1>
    </dataValidation>
  </dataValidations>
  <printOptions/>
  <pageMargins left="0.75" right="0.75" top="1" bottom="1" header="0.5" footer="0.5"/>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20"/>
  <dimension ref="B1:G27"/>
  <sheetViews>
    <sheetView showGridLines="0" zoomScalePageLayoutView="0" workbookViewId="0" topLeftCell="A1">
      <selection activeCell="B1" sqref="B1"/>
    </sheetView>
  </sheetViews>
  <sheetFormatPr defaultColWidth="9.140625" defaultRowHeight="12.75"/>
  <cols>
    <col min="1" max="1" width="3.421875" style="53" customWidth="1"/>
    <col min="2" max="2" width="45.7109375" style="53" customWidth="1"/>
    <col min="3" max="3" width="11.421875" style="53" customWidth="1"/>
    <col min="4" max="4" width="12.421875" style="53" customWidth="1"/>
    <col min="5" max="5" width="6.140625" style="53" customWidth="1"/>
    <col min="6" max="6" width="8.7109375" style="53" customWidth="1"/>
    <col min="7" max="16384" width="9.140625" style="53" customWidth="1"/>
  </cols>
  <sheetData>
    <row r="1" ht="15.75">
      <c r="B1" s="52" t="s">
        <v>66</v>
      </c>
    </row>
    <row r="2" ht="12.75"/>
    <row r="3" spans="2:4" ht="12.75">
      <c r="B3" s="54" t="s">
        <v>19</v>
      </c>
      <c r="C3" s="54" t="s">
        <v>1</v>
      </c>
      <c r="D3" s="54" t="s">
        <v>120</v>
      </c>
    </row>
    <row r="4" spans="2:4" ht="12.75">
      <c r="B4" s="55" t="s">
        <v>34</v>
      </c>
      <c r="C4" s="43" t="s">
        <v>7</v>
      </c>
      <c r="D4" s="32"/>
    </row>
    <row r="5" spans="2:4" ht="12.75">
      <c r="B5" s="56" t="s">
        <v>20</v>
      </c>
      <c r="C5" s="45" t="str">
        <f>HLOOKUP(C4,MaterialData!$C$3:$K$4,2,FALSE)</f>
        <v>Steel</v>
      </c>
      <c r="D5" s="45" t="e">
        <f>HLOOKUP(D4,MaterialData!$C$3:$K$4,2,FALSE)</f>
        <v>#N/A</v>
      </c>
    </row>
    <row r="6" spans="2:4" ht="12.75">
      <c r="B6" s="55" t="s">
        <v>21</v>
      </c>
      <c r="C6" s="45">
        <f>INDEX(Innertable,MATCH($B6,MaterialData!$B$5:$B$10,0),MATCH(C$5,MaterialData!$C$4:$K$4,0))</f>
        <v>200000000000</v>
      </c>
      <c r="D6" s="45" t="e">
        <f>INDEX(Innertable,MATCH($B6,MaterialData!$B$5:$B$10,0),MATCH(D$5,MaterialData!$C$4:$K$4,0))</f>
        <v>#N/A</v>
      </c>
    </row>
    <row r="7" spans="2:4" ht="12.75">
      <c r="B7" s="56" t="s">
        <v>10</v>
      </c>
      <c r="C7" s="45">
        <f>INDEX(Innertable,MATCH($B7,MaterialData!$B$5:$B$10,0),MATCH(C$5,MaterialData!$C$4:$K$4,0))</f>
        <v>305000000</v>
      </c>
      <c r="D7" s="45" t="e">
        <f>INDEX(Innertable,MATCH($B7,MaterialData!$B$5:$B$10,0),MATCH(D$5,MaterialData!$C$4:$K$4,0))</f>
        <v>#N/A</v>
      </c>
    </row>
    <row r="8" spans="2:4" ht="12.75">
      <c r="B8" s="56" t="s">
        <v>11</v>
      </c>
      <c r="C8" s="45">
        <f>INDEX(Innertable,MATCH($B8,MaterialData!$B$5:$B$10,0),MATCH(C$5,MaterialData!$C$4:$K$4,0))</f>
        <v>365000000</v>
      </c>
      <c r="D8" s="45" t="e">
        <f>INDEX(Innertable,MATCH($B8,MaterialData!$B$5:$B$10,0),MATCH(D$5,MaterialData!$C$4:$K$4,0))</f>
        <v>#N/A</v>
      </c>
    </row>
    <row r="9" spans="2:4" ht="12.75">
      <c r="B9" s="56" t="s">
        <v>9</v>
      </c>
      <c r="C9" s="45">
        <f>INDEX(Innertable,MATCH($B9,MaterialData!$B$5:$B$10,0),MATCH(C$5,MaterialData!$C$4:$K$4,0))</f>
        <v>180000000</v>
      </c>
      <c r="D9" s="45" t="e">
        <f>INDEX(Innertable,MATCH($B9,MaterialData!$B$5:$B$10,0),MATCH(D$5,MaterialData!$C$4:$K$4,0))</f>
        <v>#N/A</v>
      </c>
    </row>
    <row r="10" spans="2:4" ht="12.75">
      <c r="B10" s="56" t="s">
        <v>8</v>
      </c>
      <c r="C10" s="45">
        <f>INDEX(Innertable,MATCH($B10,MaterialData!$B$5:$B$10,0),MATCH(C$5,MaterialData!$C$4:$K$4,0))</f>
        <v>300000000</v>
      </c>
      <c r="D10" s="45" t="e">
        <f>INDEX(Innertable,MATCH($B10,MaterialData!$B$5:$B$10,0),MATCH(D$5,MaterialData!$C$4:$K$4,0))</f>
        <v>#N/A</v>
      </c>
    </row>
    <row r="11" spans="2:4" ht="12.75">
      <c r="B11" s="75" t="s">
        <v>121</v>
      </c>
      <c r="C11" s="45">
        <f>INDEX(Innertable,MATCH($B11,MaterialData!$B$5:$B$10,0),MATCH(C$5,MaterialData!$C$4:$K$4,0))</f>
        <v>219000000</v>
      </c>
      <c r="D11" s="45" t="e">
        <f>INDEX(Innertable,MATCH($B11,MaterialData!$B$5:$B$10,0),MATCH(D$5,MaterialData!$C$4:$K$4,0))</f>
        <v>#N/A</v>
      </c>
    </row>
    <row r="12" spans="2:4" ht="12.75">
      <c r="B12" s="76"/>
      <c r="C12" s="76"/>
      <c r="D12" s="76"/>
    </row>
    <row r="13" spans="2:4" ht="12.75">
      <c r="B13" s="75" t="s">
        <v>25</v>
      </c>
      <c r="C13" s="85">
        <v>1.5</v>
      </c>
      <c r="D13" s="32"/>
    </row>
    <row r="14" spans="2:4" ht="12.75">
      <c r="B14" s="75" t="s">
        <v>28</v>
      </c>
      <c r="C14" s="43">
        <v>305</v>
      </c>
      <c r="D14" s="43">
        <f>C14</f>
        <v>305</v>
      </c>
    </row>
    <row r="15" spans="2:4" ht="12.75">
      <c r="B15" s="76"/>
      <c r="C15" s="76"/>
      <c r="D15" s="76"/>
    </row>
    <row r="16" spans="2:4" ht="12.75">
      <c r="B16" s="56" t="s">
        <v>3</v>
      </c>
      <c r="C16" s="86">
        <f>(C14/1000)*((C13/1000)^3)/12</f>
        <v>8.578125000000001E-11</v>
      </c>
      <c r="D16" s="86">
        <f>(D14/1000)*((D13/1000)^3)/12</f>
        <v>0</v>
      </c>
    </row>
    <row r="17" spans="2:5" ht="12.75">
      <c r="B17" s="56" t="s">
        <v>0</v>
      </c>
      <c r="C17" s="45">
        <f>C6*C16</f>
        <v>17.156250000000004</v>
      </c>
      <c r="D17" s="86" t="e">
        <f>D16*D6</f>
        <v>#N/A</v>
      </c>
      <c r="E17" s="51" t="e">
        <f>IF(AND($D$4="aluminium 1",$D$13&gt;=4),100,100*D17/C17)</f>
        <v>#N/A</v>
      </c>
    </row>
    <row r="18" spans="2:5" ht="12.75">
      <c r="B18" s="56" t="s">
        <v>108</v>
      </c>
      <c r="C18" s="46">
        <f>C13*C14</f>
        <v>457.5</v>
      </c>
      <c r="D18" s="46">
        <f>D13*D14</f>
        <v>0</v>
      </c>
      <c r="E18" s="51" t="str">
        <f>IF(D4="steel",100*D18/C18,"NA")</f>
        <v>NA</v>
      </c>
    </row>
    <row r="19" spans="2:5" ht="12.75">
      <c r="B19" s="56" t="s">
        <v>109</v>
      </c>
      <c r="C19" s="45">
        <f>C$18*C7/1000000</f>
        <v>139537.5</v>
      </c>
      <c r="D19" s="45" t="e">
        <f>D18*D7/1000000</f>
        <v>#N/A</v>
      </c>
      <c r="E19" s="51" t="e">
        <f aca="true" t="shared" si="0" ref="E19:E26">IF(AND($D$4="aluminium 1",$D$13&gt;=4),100,100*D19/C19)</f>
        <v>#N/A</v>
      </c>
    </row>
    <row r="20" spans="2:5" ht="12.75">
      <c r="B20" s="56" t="s">
        <v>5</v>
      </c>
      <c r="C20" s="45">
        <f>C$18*C8/1000000</f>
        <v>166987.5</v>
      </c>
      <c r="D20" s="45" t="e">
        <f>D18*D8/1000000</f>
        <v>#N/A</v>
      </c>
      <c r="E20" s="51" t="e">
        <f t="shared" si="0"/>
        <v>#N/A</v>
      </c>
    </row>
    <row r="21" spans="2:5" ht="12.75">
      <c r="B21" s="56" t="s">
        <v>110</v>
      </c>
      <c r="C21" s="45">
        <f>C$18*C9/1000000</f>
        <v>82350</v>
      </c>
      <c r="D21" s="45" t="e">
        <f>D18*D9/1000000</f>
        <v>#N/A</v>
      </c>
      <c r="E21" s="51" t="e">
        <f t="shared" si="0"/>
        <v>#N/A</v>
      </c>
    </row>
    <row r="22" spans="2:5" ht="12.75">
      <c r="B22" s="56" t="s">
        <v>6</v>
      </c>
      <c r="C22" s="45">
        <f>C$18*C10/1000000</f>
        <v>137250</v>
      </c>
      <c r="D22" s="45" t="e">
        <f>D18*D10/1000000</f>
        <v>#N/A</v>
      </c>
      <c r="E22" s="51" t="e">
        <f t="shared" si="0"/>
        <v>#N/A</v>
      </c>
    </row>
    <row r="23" spans="2:7" ht="12.75">
      <c r="B23" s="56" t="s">
        <v>122</v>
      </c>
      <c r="C23" s="45">
        <f>PI()*25*C13*C11*0.000001</f>
        <v>25800.329667606173</v>
      </c>
      <c r="D23" s="45" t="e">
        <f>PI()*25*D13*D11*0.000001</f>
        <v>#N/A</v>
      </c>
      <c r="E23" s="51" t="e">
        <f t="shared" si="0"/>
        <v>#N/A</v>
      </c>
      <c r="G23" s="57"/>
    </row>
    <row r="24" spans="2:5" ht="12.75">
      <c r="B24" s="56" t="s">
        <v>111</v>
      </c>
      <c r="C24" s="45">
        <f>4*C8*(C16*2/(C13/1000))/1</f>
        <v>166.9875</v>
      </c>
      <c r="D24" s="45" t="e">
        <f>4*D8*(D16*2/(D13/1000))/1</f>
        <v>#N/A</v>
      </c>
      <c r="E24" s="51" t="e">
        <f t="shared" si="0"/>
        <v>#N/A</v>
      </c>
    </row>
    <row r="25" spans="2:5" ht="12.75">
      <c r="B25" s="56" t="s">
        <v>112</v>
      </c>
      <c r="C25" s="45">
        <f>$C$24*1^3/(48*C17)</f>
        <v>0.20277777777777772</v>
      </c>
      <c r="D25" s="45" t="e">
        <f>$C$24*1^3/(48*D17)</f>
        <v>#N/A</v>
      </c>
      <c r="E25" s="51" t="e">
        <f t="shared" si="0"/>
        <v>#N/A</v>
      </c>
    </row>
    <row r="26" spans="2:5" ht="12.75">
      <c r="B26" s="56" t="s">
        <v>113</v>
      </c>
      <c r="C26" s="45">
        <f>0.5*C24*(C24*1^3/(48*C6*C16))</f>
        <v>16.930677083333332</v>
      </c>
      <c r="D26" s="45" t="e">
        <f>0.5*D24*(D24*1^3/(48*D17))</f>
        <v>#N/A</v>
      </c>
      <c r="E26" s="51" t="e">
        <f t="shared" si="0"/>
        <v>#N/A</v>
      </c>
    </row>
    <row r="27" ht="12.75">
      <c r="E27" s="99" t="e">
        <f>IF(OR(E17&lt;100,E18&lt;100,E19&lt;100,E20&lt;100,E21&lt;100,E22&lt;100,E23&lt;100,E24&lt;100,E25&gt;100,E26&lt;100),"FA","PA")</f>
        <v>#N/A</v>
      </c>
    </row>
  </sheetData>
  <sheetProtection password="DCC8" sheet="1"/>
  <conditionalFormatting sqref="E17:E24 E26">
    <cfRule type="cellIs" priority="1" dxfId="0" operator="greaterThanOrEqual" stopIfTrue="1">
      <formula>100</formula>
    </cfRule>
    <cfRule type="cellIs" priority="2" dxfId="1" operator="lessThan" stopIfTrue="1">
      <formula>100</formula>
    </cfRule>
  </conditionalFormatting>
  <conditionalFormatting sqref="E25">
    <cfRule type="cellIs" priority="3" dxfId="1" operator="greaterThanOrEqual" stopIfTrue="1">
      <formula>100.01</formula>
    </cfRule>
    <cfRule type="cellIs" priority="4" dxfId="0" operator="lessThan" stopIfTrue="1">
      <formula>100.01</formula>
    </cfRule>
  </conditionalFormatting>
  <dataValidations count="1">
    <dataValidation type="list" allowBlank="1" showInputMessage="1" showErrorMessage="1" promptTitle="Select Material" sqref="C4:D4">
      <formula1>Materials</formula1>
    </dataValidation>
  </dataValidation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14"/>
  <dimension ref="B1:S36"/>
  <sheetViews>
    <sheetView showGridLines="0" zoomScalePageLayoutView="0" workbookViewId="0" topLeftCell="A1">
      <selection activeCell="M8" sqref="M8"/>
    </sheetView>
  </sheetViews>
  <sheetFormatPr defaultColWidth="9.140625" defaultRowHeight="12.75"/>
  <cols>
    <col min="1" max="1" width="3.421875" style="53" customWidth="1"/>
    <col min="2" max="2" width="45.8515625" style="53" customWidth="1"/>
    <col min="3" max="3" width="11.421875" style="53" customWidth="1"/>
    <col min="4" max="4" width="3.57421875" style="76" customWidth="1"/>
    <col min="5" max="10" width="11.7109375" style="53" customWidth="1"/>
    <col min="11" max="11" width="6.7109375" style="53" customWidth="1"/>
    <col min="12" max="12" width="8.7109375" style="53" customWidth="1"/>
    <col min="13" max="16384" width="9.140625" style="53" customWidth="1"/>
  </cols>
  <sheetData>
    <row r="1" ht="15.75">
      <c r="B1" s="52" t="s">
        <v>138</v>
      </c>
    </row>
    <row r="2" spans="3:8" ht="12.75">
      <c r="C2" s="293" t="s">
        <v>29</v>
      </c>
      <c r="D2" s="294"/>
      <c r="E2" s="295"/>
      <c r="F2" s="271" t="s">
        <v>30</v>
      </c>
      <c r="G2" s="272"/>
      <c r="H2" s="98" t="s">
        <v>208</v>
      </c>
    </row>
    <row r="3" ht="12.75"/>
    <row r="4" spans="2:10" ht="25.5" customHeight="1">
      <c r="B4" s="54" t="s">
        <v>19</v>
      </c>
      <c r="C4" s="67" t="s">
        <v>1</v>
      </c>
      <c r="D4" s="77"/>
      <c r="E4" s="67" t="s">
        <v>37</v>
      </c>
      <c r="F4" s="67" t="s">
        <v>38</v>
      </c>
      <c r="G4" s="67" t="s">
        <v>39</v>
      </c>
      <c r="H4" s="67" t="s">
        <v>36</v>
      </c>
      <c r="I4" s="100" t="s">
        <v>22</v>
      </c>
      <c r="J4" s="67" t="s">
        <v>23</v>
      </c>
    </row>
    <row r="5" spans="2:10" ht="12.75">
      <c r="B5" s="55" t="s">
        <v>34</v>
      </c>
      <c r="C5" s="43" t="s">
        <v>7</v>
      </c>
      <c r="E5" s="32"/>
      <c r="F5" s="32"/>
      <c r="G5" s="32"/>
      <c r="H5" s="78"/>
      <c r="I5" s="50"/>
      <c r="J5" s="80"/>
    </row>
    <row r="6" spans="2:10" ht="12.75">
      <c r="B6" s="55" t="s">
        <v>50</v>
      </c>
      <c r="C6" s="44" t="s">
        <v>48</v>
      </c>
      <c r="E6" s="32"/>
      <c r="F6" s="32"/>
      <c r="G6" s="32"/>
      <c r="H6" s="80"/>
      <c r="I6" s="83" t="s">
        <v>24</v>
      </c>
      <c r="J6" s="80"/>
    </row>
    <row r="7" spans="2:10" ht="12.75">
      <c r="B7" s="56" t="s">
        <v>20</v>
      </c>
      <c r="C7" s="45" t="str">
        <f>HLOOKUP(C5,MaterialData!$C$3:$K$4,2,FALSE)</f>
        <v>Steel</v>
      </c>
      <c r="D7" s="81"/>
      <c r="E7" s="45" t="e">
        <f>HLOOKUP(E5,MaterialData!$C$3:$K$4,2,FALSE)</f>
        <v>#N/A</v>
      </c>
      <c r="F7" s="45" t="e">
        <f>HLOOKUP(F5,MaterialData!$C$3:$K$4,2,FALSE)</f>
        <v>#N/A</v>
      </c>
      <c r="G7" s="45" t="e">
        <f>HLOOKUP(G5,MaterialData!$C$3:$K$4,2,FALSE)</f>
        <v>#N/A</v>
      </c>
      <c r="H7" s="82"/>
      <c r="I7" s="45" t="e">
        <f>HLOOKUP(I5,MaterialData!$C$3:$K$4,2,FALSE)</f>
        <v>#N/A</v>
      </c>
      <c r="J7" s="82"/>
    </row>
    <row r="8" spans="2:15" ht="12.75">
      <c r="B8" s="56" t="s">
        <v>21</v>
      </c>
      <c r="C8" s="45">
        <f>INDEX(Innertable,MATCH($B8,MaterialData!$B$5:$B$10,0),MATCH(C$7,MaterialData!$C$4:$K$4,0))</f>
        <v>200000000000</v>
      </c>
      <c r="D8" s="81"/>
      <c r="E8" s="45" t="e">
        <f>INDEX(Innertable,MATCH($B8,MaterialData!$B$5:$B$10,0),MATCH(E$7,MaterialData!$C$4:$K$4,0))</f>
        <v>#N/A</v>
      </c>
      <c r="F8" s="45" t="e">
        <f>INDEX(Innertable,MATCH($B8,MaterialData!$B$5:$B$10,0),MATCH(F$7,MaterialData!$C$4:$K$4,0))</f>
        <v>#N/A</v>
      </c>
      <c r="G8" s="45" t="e">
        <f>INDEX(Innertable,MATCH($B8,MaterialData!$B$5:$B$10,0),MATCH(G$7,MaterialData!$C$4:$K$4,0))</f>
        <v>#N/A</v>
      </c>
      <c r="H8" s="82"/>
      <c r="I8" s="45" t="e">
        <f>INDEX(Innertable,MATCH($B8,MaterialData!$B$5:$B$10,0),MATCH(I$7,MaterialData!$C$4:$K$4,0))</f>
        <v>#N/A</v>
      </c>
      <c r="J8" s="82"/>
      <c r="O8" s="57"/>
    </row>
    <row r="9" spans="2:15" ht="12.75">
      <c r="B9" s="56" t="s">
        <v>10</v>
      </c>
      <c r="C9" s="45">
        <f>INDEX(Innertable,MATCH($B9,MaterialData!$B$5:$B$10,0),MATCH(C$7,MaterialData!$C$4:$K$4,0))</f>
        <v>305000000</v>
      </c>
      <c r="D9" s="81"/>
      <c r="E9" s="45" t="e">
        <f>INDEX(Innertable,MATCH($B9,MaterialData!$B$5:$B$10,0),MATCH(E$7,MaterialData!$C$4:$K$4,0))</f>
        <v>#N/A</v>
      </c>
      <c r="F9" s="45" t="e">
        <f>INDEX(Innertable,MATCH($B9,MaterialData!$B$5:$B$10,0),MATCH(F$7,MaterialData!$C$4:$K$4,0))</f>
        <v>#N/A</v>
      </c>
      <c r="G9" s="45" t="e">
        <f>INDEX(Innertable,MATCH($B9,MaterialData!$B$5:$B$10,0),MATCH(G$7,MaterialData!$C$4:$K$4,0))</f>
        <v>#N/A</v>
      </c>
      <c r="H9" s="82"/>
      <c r="I9" s="45" t="e">
        <f>INDEX(Innertable,MATCH($B9,MaterialData!$B$5:$B$10,0),MATCH(I$7,MaterialData!$C$4:$K$4,0))</f>
        <v>#N/A</v>
      </c>
      <c r="J9" s="82"/>
      <c r="O9" s="57"/>
    </row>
    <row r="10" spans="2:15" ht="12.75">
      <c r="B10" s="56" t="s">
        <v>11</v>
      </c>
      <c r="C10" s="45">
        <f>INDEX(Innertable,MATCH($B10,MaterialData!$B$5:$B$10,0),MATCH(C$7,MaterialData!$C$4:$K$4,0))</f>
        <v>365000000</v>
      </c>
      <c r="D10" s="81"/>
      <c r="E10" s="45" t="e">
        <f>INDEX(Innertable,MATCH($B10,MaterialData!$B$5:$B$10,0),MATCH(E$7,MaterialData!$C$4:$K$4,0))</f>
        <v>#N/A</v>
      </c>
      <c r="F10" s="45" t="e">
        <f>INDEX(Innertable,MATCH($B10,MaterialData!$B$5:$B$10,0),MATCH(F$7,MaterialData!$C$4:$K$4,0))</f>
        <v>#N/A</v>
      </c>
      <c r="G10" s="45" t="e">
        <f>INDEX(Innertable,MATCH($B10,MaterialData!$B$5:$B$10,0),MATCH(G$7,MaterialData!$C$4:$K$4,0))</f>
        <v>#N/A</v>
      </c>
      <c r="H10" s="82"/>
      <c r="I10" s="45" t="e">
        <f>INDEX(Innertable,MATCH($B10,MaterialData!$B$5:$B$10,0),MATCH(I$7,MaterialData!$C$4:$K$4,0))</f>
        <v>#N/A</v>
      </c>
      <c r="J10" s="82"/>
      <c r="O10" s="57"/>
    </row>
    <row r="11" spans="2:15" ht="12.75">
      <c r="B11" s="56" t="s">
        <v>9</v>
      </c>
      <c r="C11" s="45">
        <f>INDEX(Innertable,MATCH($B11,MaterialData!$B$5:$B$10,0),MATCH(C$7,MaterialData!$C$4:$K$4,0))</f>
        <v>180000000</v>
      </c>
      <c r="D11" s="81"/>
      <c r="E11" s="45" t="e">
        <f>INDEX(Innertable,MATCH($B11,MaterialData!$B$5:$B$10,0),MATCH(E$7,MaterialData!$C$4:$K$4,0))</f>
        <v>#N/A</v>
      </c>
      <c r="F11" s="45" t="e">
        <f>INDEX(Innertable,MATCH($B11,MaterialData!$B$5:$B$10,0),MATCH(F$7,MaterialData!$C$4:$K$4,0))</f>
        <v>#N/A</v>
      </c>
      <c r="G11" s="45" t="e">
        <f>INDEX(Innertable,MATCH($B11,MaterialData!$B$5:$B$10,0),MATCH(G$7,MaterialData!$C$4:$K$4,0))</f>
        <v>#N/A</v>
      </c>
      <c r="H11" s="82"/>
      <c r="I11" s="45" t="e">
        <f>INDEX(Innertable,MATCH($B11,MaterialData!$B$5:$B$10,0),MATCH(I$7,MaterialData!$C$4:$K$4,0))</f>
        <v>#N/A</v>
      </c>
      <c r="J11" s="82"/>
      <c r="O11" s="57"/>
    </row>
    <row r="12" spans="2:15" ht="12.75">
      <c r="B12" s="56" t="s">
        <v>8</v>
      </c>
      <c r="C12" s="45">
        <f>INDEX(Innertable,MATCH($B12,MaterialData!$B$5:$B$10,0),MATCH(C$7,MaterialData!$C$4:$K$4,0))</f>
        <v>300000000</v>
      </c>
      <c r="D12" s="81"/>
      <c r="E12" s="45" t="e">
        <f>INDEX(Innertable,MATCH($B12,MaterialData!$B$5:$B$10,0),MATCH(E$7,MaterialData!$C$4:$K$4,0))</f>
        <v>#N/A</v>
      </c>
      <c r="F12" s="45" t="e">
        <f>INDEX(Innertable,MATCH($B12,MaterialData!$B$5:$B$10,0),MATCH(F$7,MaterialData!$C$4:$K$4,0))</f>
        <v>#N/A</v>
      </c>
      <c r="G12" s="45" t="e">
        <f>INDEX(Innertable,MATCH($B12,MaterialData!$B$5:$B$10,0),MATCH(G$7,MaterialData!$C$4:$K$4,0))</f>
        <v>#N/A</v>
      </c>
      <c r="H12" s="82"/>
      <c r="I12" s="45" t="e">
        <f>INDEX(Innertable,MATCH($B12,MaterialData!$B$5:$B$10,0),MATCH(I$7,MaterialData!$C$4:$K$4,0))</f>
        <v>#N/A</v>
      </c>
      <c r="J12" s="82"/>
      <c r="O12" s="57"/>
    </row>
    <row r="13" spans="3:15" ht="12.75">
      <c r="C13" s="76"/>
      <c r="D13" s="53"/>
      <c r="E13" s="91"/>
      <c r="F13" s="76"/>
      <c r="G13" s="73"/>
      <c r="H13" s="80"/>
      <c r="J13" s="80"/>
      <c r="O13" s="57"/>
    </row>
    <row r="14" spans="2:15" ht="12.75">
      <c r="B14" s="56" t="s">
        <v>35</v>
      </c>
      <c r="C14" s="43">
        <v>3</v>
      </c>
      <c r="D14" s="53"/>
      <c r="E14" s="32"/>
      <c r="F14" s="32"/>
      <c r="G14" s="32"/>
      <c r="H14" s="80"/>
      <c r="J14" s="80"/>
      <c r="O14" s="57"/>
    </row>
    <row r="15" spans="2:15" ht="12.75">
      <c r="B15" s="56" t="s">
        <v>114</v>
      </c>
      <c r="C15" s="43">
        <v>25.4</v>
      </c>
      <c r="E15" s="32"/>
      <c r="F15" s="32"/>
      <c r="G15" s="32"/>
      <c r="H15" s="80"/>
      <c r="I15" s="76"/>
      <c r="J15" s="80"/>
      <c r="O15" s="57"/>
    </row>
    <row r="16" spans="2:15" ht="12.75">
      <c r="B16" s="56" t="s">
        <v>115</v>
      </c>
      <c r="C16" s="43">
        <v>1.6</v>
      </c>
      <c r="E16" s="32"/>
      <c r="F16" s="32"/>
      <c r="G16" s="32"/>
      <c r="H16" s="80"/>
      <c r="I16" s="76"/>
      <c r="J16" s="80"/>
      <c r="O16" s="57"/>
    </row>
    <row r="17" spans="2:15" ht="12.75">
      <c r="B17" s="76"/>
      <c r="E17" s="92"/>
      <c r="F17" s="101" t="s">
        <v>105</v>
      </c>
      <c r="G17" s="63" t="e">
        <f>IF(AND(K26&gt;=100,F2="tubing only",NOT(OR(E18="NO",F18="NO",G18="NO"))),"YES","NO")</f>
        <v>#VALUE!</v>
      </c>
      <c r="H17" s="80"/>
      <c r="I17" s="76"/>
      <c r="J17" s="80"/>
      <c r="O17" s="57"/>
    </row>
    <row r="18" spans="2:15" ht="12.75">
      <c r="B18" s="75" t="s">
        <v>25</v>
      </c>
      <c r="C18" s="76"/>
      <c r="E18" s="111" t="str">
        <f>IF(E14=0,"N/A",IF(AND(E5=$C$5,OR(OR(E15&gt;=$C$15,AND(E15&gt;=25,E15&lt;25.4,E16&gt;=1.75)),AND(E6="square",E15&gt;=25,E16&gt;=1.25)),OR(AND(E6="round",E16&gt;=1.6),OR(AND(E6="square",E16&gt;=1.25,E15&gt;=25),AND(E6="square",E16&gt;=1.2,E15&gt;=26)))),"YES","NO"))</f>
        <v>N/A</v>
      </c>
      <c r="F18" s="112" t="str">
        <f>IF(F14=0,"N/A",IF(AND(F5=$C$5,OR(OR(F15&gt;=$C$15,AND(F15&gt;=25,F15&lt;25.4,F16&gt;=1.75)),AND(F6="square",F15&gt;=25,F16&gt;=1.25)),OR(AND(F6="round",F16&gt;=1.6),OR(AND(F6="square",F16&gt;=1.25,F15&gt;=25),AND(F6="square",F16&gt;=1.2,F15&gt;=26)))),"YES","NO"))</f>
        <v>N/A</v>
      </c>
      <c r="G18" s="112" t="str">
        <f>IF(G14=0,"N/A",IF(AND(G5=$C$5,OR(OR(G15&gt;=$C$15,AND(G15&gt;=25,G15&lt;25.4,G16&gt;=1.75)),AND(G6="square",G15&gt;=25,G16&gt;=1.25)),OR(AND(G6="round",G16&gt;=1.6),OR(AND(G6="square",G16&gt;=1.25,G15&gt;=25),AND(G6="square",G16&gt;=1.2,G15&gt;=26)))),"YES","NO"))</f>
        <v>N/A</v>
      </c>
      <c r="H18" s="80"/>
      <c r="I18" s="50"/>
      <c r="J18" s="80"/>
      <c r="O18" s="57"/>
    </row>
    <row r="19" spans="2:15" ht="12.75">
      <c r="B19" s="75" t="s">
        <v>26</v>
      </c>
      <c r="C19" s="76"/>
      <c r="E19" s="91"/>
      <c r="F19" s="76"/>
      <c r="G19" s="73"/>
      <c r="H19" s="80"/>
      <c r="I19" s="50"/>
      <c r="J19" s="80"/>
      <c r="O19" s="57"/>
    </row>
    <row r="20" spans="2:15" ht="12.75">
      <c r="B20" s="75" t="s">
        <v>27</v>
      </c>
      <c r="E20" s="91"/>
      <c r="F20" s="76"/>
      <c r="G20" s="73"/>
      <c r="H20" s="80"/>
      <c r="I20" s="83">
        <f>(I18-I19)/2</f>
        <v>0</v>
      </c>
      <c r="J20" s="80"/>
      <c r="O20" s="57"/>
    </row>
    <row r="21" spans="2:15" ht="12.75">
      <c r="B21" s="75" t="s">
        <v>28</v>
      </c>
      <c r="E21" s="91"/>
      <c r="F21" s="76"/>
      <c r="G21" s="73"/>
      <c r="H21" s="80"/>
      <c r="I21" s="50"/>
      <c r="J21" s="80"/>
      <c r="O21" s="57"/>
    </row>
    <row r="22" spans="2:15" ht="12.75">
      <c r="B22" s="76"/>
      <c r="C22" s="76"/>
      <c r="E22" s="94"/>
      <c r="F22" s="95"/>
      <c r="G22" s="96"/>
      <c r="H22" s="80"/>
      <c r="I22" s="76"/>
      <c r="J22" s="80"/>
      <c r="O22" s="57"/>
    </row>
    <row r="23" spans="2:15" ht="12.75">
      <c r="B23" s="56" t="s">
        <v>4</v>
      </c>
      <c r="C23" s="43">
        <f>C15/1000</f>
        <v>0.0254</v>
      </c>
      <c r="E23" s="43" t="str">
        <f>IF($F$2="composite only","No tubes",IF(E14=0,"No tubes",E15/1000))</f>
        <v>No tubes</v>
      </c>
      <c r="F23" s="43" t="str">
        <f>IF($F$2="composite only","No tubes",IF(F14=0,"No tubes",F15/1000))</f>
        <v>No tubes</v>
      </c>
      <c r="G23" s="43" t="str">
        <f>IF($F$2="composite only","No tubes",IF(G14=0,"No tubes",G15/1000))</f>
        <v>No tubes</v>
      </c>
      <c r="H23" s="80"/>
      <c r="I23" s="76"/>
      <c r="J23" s="80"/>
      <c r="O23" s="57"/>
    </row>
    <row r="24" spans="2:19" ht="12.75">
      <c r="B24" s="56" t="s">
        <v>107</v>
      </c>
      <c r="C24" s="43">
        <f>C16/1000</f>
        <v>0.0016</v>
      </c>
      <c r="E24" s="43">
        <f>IF(E23="no tubes","",IF(E14=0,"",E16/1000))</f>
      </c>
      <c r="F24" s="43">
        <f>IF(F23="no tubes","",IF(F14=0,"",F16/1000))</f>
      </c>
      <c r="G24" s="43">
        <f>IF(G23="no tubes","",IF(G14=0,"",G16/1000))</f>
      </c>
      <c r="H24" s="84"/>
      <c r="I24" s="76"/>
      <c r="J24" s="84"/>
      <c r="O24" s="57"/>
      <c r="S24" s="58"/>
    </row>
    <row r="25" spans="2:19" ht="12.75">
      <c r="B25" s="56" t="s">
        <v>3</v>
      </c>
      <c r="C25" s="45">
        <f>IF(C6="Round",((C23)^4-((C23-2*C24))^4)*3.142/64,((C23)^4-((C23-2*C24))^4)/12)</f>
        <v>8.509918480000002E-09</v>
      </c>
      <c r="E25" s="45">
        <f>IF(E23="no tubes","",IF(E14=0,"",IF(E6="Round",(((E23)^4-((E23-2*E24))^4)*3.142/64),IF(E6="Square",(((E23)^4-((E23-2*E24))^4)/12),""))))</f>
      </c>
      <c r="F25" s="45">
        <f>IF(F23="no tubes","",IF(F14=0,"",IF(F6="Round",(((F23)^4-((F23-2*F24))^4)*3.142/64),IF(F6="Square",(((F23)^4-((F23-2*F24))^4)/12),""))))</f>
      </c>
      <c r="G25" s="45">
        <f>IF(G23="no tubes","",IF(G14=0,"",IF(G6="Round",(((G23)^4-((G23-2*G24))^4)*3.142/64),IF(G6="Square",(((G23)^4-((G23-2*G24))^4)/12),""))))</f>
      </c>
      <c r="H25" s="45">
        <f>IF(SUM(E25:G25)&gt;0,SUM(E25:G25),"")</f>
      </c>
      <c r="I25" s="86" t="str">
        <f>IF($F$2="Tubing only","Tubing Only",(I21/1000)*((I18/1000)^3-(I19/1000)^3)/12)</f>
        <v>Tubing Only</v>
      </c>
      <c r="J25" s="45">
        <f aca="true" t="shared" si="0" ref="J25:J34">IF($F$2="Tubing only",H25,IF($F$2="Composite only",I25,IF($F$2="Tubes + Composite",H25+I25,"No Type Selected")))</f>
      </c>
      <c r="O25" s="57"/>
      <c r="R25" s="57"/>
      <c r="S25" s="58"/>
    </row>
    <row r="26" spans="2:12" ht="12.75">
      <c r="B26" s="56" t="s">
        <v>0</v>
      </c>
      <c r="C26" s="45">
        <f>C8*C25*C14</f>
        <v>5105.951088000002</v>
      </c>
      <c r="D26" s="81"/>
      <c r="E26" s="45">
        <f>IF(E23="no tubes","",IF(E14=0,"",E8*E25*E14))</f>
      </c>
      <c r="F26" s="45">
        <f>IF(F23="no tubes","",IF(F14=0,"",F8*F25*F14))</f>
      </c>
      <c r="G26" s="45">
        <f>IF(G23="no tubes","",IF(G14=0,"",G8*G25*G14))</f>
      </c>
      <c r="H26" s="45">
        <f aca="true" t="shared" si="1" ref="H26:H34">IF(SUM(E26:G26)&gt;0,SUM(E26:G26),"")</f>
      </c>
      <c r="I26" s="86">
        <f>IF(I25="Tubing Only","",I25*I8)</f>
      </c>
      <c r="J26" s="45">
        <f t="shared" si="0"/>
      </c>
      <c r="K26" s="51" t="e">
        <f>IF(AND(NOT($F$2="tubes + composite"),OR(AND($G$14&gt;0,G26&lt;(C26/3)),AND($F$14&gt;0,F26&lt;(C26/3)),AND($E$14&gt;0,E26&lt;(C26/3)))),0,100*J26/C26)</f>
        <v>#VALUE!</v>
      </c>
      <c r="L26" s="53" t="e">
        <f>IF((99.9&gt;K26)*AND(K26&gt;50),"For composites FEA can be used to prove this","")</f>
        <v>#VALUE!</v>
      </c>
    </row>
    <row r="27" spans="2:18" ht="12.75">
      <c r="B27" s="56" t="s">
        <v>108</v>
      </c>
      <c r="C27" s="46">
        <f>IF(C23="no tubes","",IF(C14=0,"",IF(C6="Round",C14*((C15^2-(C15-2*C16)^2)*PI()/4),IF(C6="Square",C14*(C15^2-(C15-2*C16)^2),""))))</f>
        <v>358.8955447460979</v>
      </c>
      <c r="D27" s="97"/>
      <c r="E27" s="46">
        <f>IF(E23="no tubes","",IF(E14=0,"",IF(E6="Round",E14*((E15^2-(E15-2*E16)^2)*PI()/4),IF(E6="Square",E14*(E15^2-(E15-2*E16)^2),""))))</f>
      </c>
      <c r="F27" s="46">
        <f>IF(F23="no tubes","",IF(F14=0,"",IF(F6="Round",F14*((F15^2-(F15-2*F16)^2)*PI()/4),IF(F6="Square",F14*(F15^2-(F15-2*F16)^2),""))))</f>
      </c>
      <c r="G27" s="46">
        <f>IF(G23="no tubes","",IF(G14=0,"",IF(G6="Round",G14*((G15^2-(G15-2*G16)^2)*PI()/4),IF(G6="Square",G14*(G15^2-(G15-2*G16)^2),""))))</f>
      </c>
      <c r="H27" s="46">
        <f t="shared" si="1"/>
      </c>
      <c r="I27" s="46">
        <f>IF(I25="Tubing Only","",(I18-I19)*I21)</f>
      </c>
      <c r="J27" s="46">
        <f t="shared" si="0"/>
      </c>
      <c r="K27" s="51" t="str">
        <f>IF(AND($F$2="tubing only",AND(E5="steel",F5="steel",G5="steel")),100*J27/C27,"NA")</f>
        <v>NA</v>
      </c>
      <c r="L27" s="53">
        <f>IF(AND(95&lt;K27,K27&lt;100),"For tubes only, provided your actual tube measures &gt;= your nominal OD and wall this is OK","")</f>
      </c>
      <c r="R27" s="57"/>
    </row>
    <row r="28" spans="2:12" ht="12.75">
      <c r="B28" s="56" t="s">
        <v>109</v>
      </c>
      <c r="C28" s="45">
        <f>C$27*C9/1000000</f>
        <v>109463.14114755986</v>
      </c>
      <c r="D28" s="81"/>
      <c r="E28" s="45">
        <f>IF(E23="no tubes","",IF(E14=0,"",E$27*E9/1000000))</f>
      </c>
      <c r="F28" s="45">
        <f>IF(F23="no tubes","",IF(F14=0,"",F$27*F9/1000000))</f>
      </c>
      <c r="G28" s="45">
        <f>IF(G23="no tubes","",IF(G14=0,"",G$27*G9/1000000))</f>
      </c>
      <c r="H28" s="45">
        <f t="shared" si="1"/>
      </c>
      <c r="I28" s="45">
        <f>IF(I25="Tubing Only","",I27*I9/1000000)</f>
      </c>
      <c r="J28" s="45">
        <f t="shared" si="0"/>
      </c>
      <c r="K28" s="51" t="e">
        <f>IF(AND($F$2="tubing only",OR($E$35&lt;$C$35,$F$35&lt;$C$35,$G$35&lt;$C$35)),0,100*J28/C28)</f>
        <v>#VALUE!</v>
      </c>
      <c r="L28" s="53" t="e">
        <f>IF(AND(95&lt;K28,K28&lt;100),"For tubes only, provided your actual tube measures &gt;= your nominal OD and wall this is OK","")</f>
        <v>#VALUE!</v>
      </c>
    </row>
    <row r="29" spans="2:18" ht="12.75">
      <c r="B29" s="56" t="s">
        <v>5</v>
      </c>
      <c r="C29" s="45">
        <f>C$27*C10/1000000</f>
        <v>130996.87383232574</v>
      </c>
      <c r="D29" s="81"/>
      <c r="E29" s="45">
        <f>IF(E23="no tubes","",IF(E14=0,"",E$27*E10/1000000))</f>
      </c>
      <c r="F29" s="45">
        <f>IF(F23="no tubes","",IF(F14=0,"",F$27*F10/1000000))</f>
      </c>
      <c r="G29" s="45">
        <f>IF(G23="no tubes","",IF(G14=0,"",G$27*G10/1000000))</f>
      </c>
      <c r="H29" s="45">
        <f t="shared" si="1"/>
      </c>
      <c r="I29" s="45">
        <f>IF(I25="Tubing Only","",I27*I10/1000000)</f>
      </c>
      <c r="J29" s="45">
        <f t="shared" si="0"/>
      </c>
      <c r="K29" s="51" t="e">
        <f aca="true" t="shared" si="2" ref="K29:K34">IF(AND($F$2="tubing only",OR($E$35&lt;$C$35,$F$35&lt;$C$35,$G$35&lt;$C$35)),0,100*J29/C29)</f>
        <v>#VALUE!</v>
      </c>
      <c r="L29" s="53" t="e">
        <f>IF(AND(95&lt;K29,K29&lt;100),"For tubes only, provided your actual tube measures &gt;= your nominal OD and wall this is OK","")</f>
        <v>#VALUE!</v>
      </c>
      <c r="R29" s="57"/>
    </row>
    <row r="30" spans="2:18" ht="12.75">
      <c r="B30" s="56" t="s">
        <v>110</v>
      </c>
      <c r="C30" s="45">
        <f>C$27*C11/1000000</f>
        <v>64601.19805429763</v>
      </c>
      <c r="D30" s="81"/>
      <c r="E30" s="45">
        <f>IF(E23="no tubes","",IF(E14=0,"",E$27*E11/1000000))</f>
      </c>
      <c r="F30" s="45">
        <f>IF(F23="no tubes","",IF(F14=0,"",F$27*F11/1000000))</f>
      </c>
      <c r="G30" s="45">
        <f>IF(G23="no tubes","",IF(G14=0,"",G$27*G11/1000000))</f>
      </c>
      <c r="H30" s="45">
        <f t="shared" si="1"/>
      </c>
      <c r="I30" s="45">
        <f>IF(I25="Tubing Only","",I27*I9/1000000)</f>
      </c>
      <c r="J30" s="45">
        <f t="shared" si="0"/>
      </c>
      <c r="K30" s="51" t="e">
        <f t="shared" si="2"/>
        <v>#VALUE!</v>
      </c>
      <c r="L30" s="53" t="e">
        <f>IF(AND(95&lt;K30,K30&lt;100),"For tubes only, provided your actual tube measures &gt;= your nominal OD and wall this is OK","")</f>
        <v>#VALUE!</v>
      </c>
      <c r="R30" s="57"/>
    </row>
    <row r="31" spans="2:18" ht="12.75">
      <c r="B31" s="56" t="s">
        <v>6</v>
      </c>
      <c r="C31" s="45">
        <f>IF(C14=0,"",C$27*C12/1000000)</f>
        <v>107668.66342382938</v>
      </c>
      <c r="D31" s="81"/>
      <c r="E31" s="45">
        <f>IF(E23="no tubes","",IF(E14=0,"",E$27*E12/1000000))</f>
      </c>
      <c r="F31" s="45">
        <f>IF(F23="no tubes","",IF(F14=0,"",F$27*F12/1000000))</f>
      </c>
      <c r="G31" s="45">
        <f>IF(G23="no tubes","",IF(G14=0,"",G$27*G12/1000000))</f>
      </c>
      <c r="H31" s="45">
        <f t="shared" si="1"/>
      </c>
      <c r="I31" s="45">
        <f>IF(I25="tubing only","",I27*I10/1000000)</f>
      </c>
      <c r="J31" s="45">
        <f t="shared" si="0"/>
      </c>
      <c r="K31" s="51" t="e">
        <f t="shared" si="2"/>
        <v>#VALUE!</v>
      </c>
      <c r="L31" s="53" t="e">
        <f>IF(AND(95&lt;K31,K31&lt;100),"For tubes only, provided your actual tube measures &gt;= your nominal OD and wall this is OK","")</f>
        <v>#VALUE!</v>
      </c>
      <c r="R31" s="57"/>
    </row>
    <row r="32" spans="2:12" ht="12.75">
      <c r="B32" s="56" t="s">
        <v>111</v>
      </c>
      <c r="C32" s="45">
        <f>C14*4*C10*C25/(0.5*C23*1)</f>
        <v>2934.9167671181112</v>
      </c>
      <c r="E32" s="45">
        <f>IF(E23="no tubes","",IF(E14=0,"",E14*4*E10*E25/(0.5*E23*1)))</f>
      </c>
      <c r="F32" s="45">
        <f>IF(F23="no tubes","",IF(F14=0,"",F14*4*F10*F25/(0.5*F23*1)))</f>
      </c>
      <c r="G32" s="45">
        <f>IF(G23="no tubes","",IF(G14=0,"",G14*4*G10*G25/(0.5*G23*1)))</f>
      </c>
      <c r="H32" s="45">
        <f t="shared" si="1"/>
      </c>
      <c r="I32" s="45">
        <f>IF(I25="tubing only","",4*I10*(I25*2/(I18/1000))/1)</f>
      </c>
      <c r="J32" s="45">
        <f t="shared" si="0"/>
      </c>
      <c r="K32" s="51" t="e">
        <f t="shared" si="2"/>
        <v>#VALUE!</v>
      </c>
      <c r="L32" s="53" t="e">
        <f>IF((99.9&gt;K32)*AND(K32&gt;50),"For composites FEA can be used to prove this","")</f>
        <v>#VALUE!</v>
      </c>
    </row>
    <row r="33" spans="2:12" ht="12.75">
      <c r="B33" s="56" t="s">
        <v>112</v>
      </c>
      <c r="C33" s="45">
        <f>IF(C14=0,"",C32*1^3/(48*C26))</f>
        <v>0.011975065616797901</v>
      </c>
      <c r="E33" s="45">
        <f>IF(E23="no tubes","",IF(E14=0,"",($C$32*1^3/(48*E26))))</f>
      </c>
      <c r="F33" s="45">
        <f>IF(F23="no tubes","",IF(F14=0,"",($C$32*1^3/(48*F26))))</f>
      </c>
      <c r="G33" s="45">
        <f>IF(G23="no tubes","",IF(G14=0,"",($C$32*1^3/(48*G26))))</f>
      </c>
      <c r="H33" s="45" t="e">
        <f>IF(F2="composite only","",$C$32*1^3/(48*H26))</f>
        <v>#VALUE!</v>
      </c>
      <c r="I33" s="45">
        <f>IF(NOT($F$2="tubing only"),$C$32*1^3/(48*I26),"")</f>
      </c>
      <c r="J33" s="45" t="e">
        <f>IF($F$2="Tubing only",H33,IF($F$2="Composite only",I33,IF($F$2="Tubes + Composite",$C$32*1^3/(48*J26),"No Type Selected")))</f>
        <v>#VALUE!</v>
      </c>
      <c r="K33" s="51" t="e">
        <f>IF(AND($F$2="tubing only",OR($E$35&lt;$C$35,$F$35&lt;$C$35,$G$35&lt;$C$35)),101,100*J33/C33)</f>
        <v>#VALUE!</v>
      </c>
      <c r="L33" s="53" t="e">
        <f>IF((100.1&lt;K33)*AND(K33&lt;200.1),"For composites FEA can be used to prove this","")</f>
        <v>#VALUE!</v>
      </c>
    </row>
    <row r="34" spans="2:12" ht="12.75">
      <c r="B34" s="56" t="s">
        <v>113</v>
      </c>
      <c r="C34" s="45">
        <f>0.5*C32*(C32*1^3/(48*C26))</f>
        <v>17.572910433039873</v>
      </c>
      <c r="E34" s="45">
        <f>IF(E23="no tubes","",0.5*E32*(E32*1^3/(48*E26)))</f>
      </c>
      <c r="F34" s="45">
        <f>IF(F23="no tubes","",0.5*F32*(F32*1^3/(48*F26)))</f>
      </c>
      <c r="G34" s="45">
        <f>IF(G23="no tubes","",0.5*G32*(G32*1^3/(48*G26)))</f>
      </c>
      <c r="H34" s="45">
        <f t="shared" si="1"/>
      </c>
      <c r="I34" s="45">
        <f>IF(I25="tubing only","",0.5*I32*(I32*1^3/(48*I26)))</f>
      </c>
      <c r="J34" s="45">
        <f t="shared" si="0"/>
      </c>
      <c r="K34" s="51" t="e">
        <f t="shared" si="2"/>
        <v>#VALUE!</v>
      </c>
      <c r="L34" s="53" t="e">
        <f>IF((99.9&gt;K34)*AND(K34&gt;50),"For composites FEA can be used to prove this","")</f>
        <v>#VALUE!</v>
      </c>
    </row>
    <row r="35" spans="3:8" ht="12.75">
      <c r="C35" s="139">
        <f>0.99*C26/C14</f>
        <v>1684.9638590400007</v>
      </c>
      <c r="D35" s="140"/>
      <c r="E35" s="139">
        <f>IF(AND($F$2="tubing only",E14&gt;0),E26/E14,9E+99)</f>
        <v>9E+99</v>
      </c>
      <c r="F35" s="139">
        <f>IF(AND($F$2="tubing only",F14&gt;0),F26/F14,9E+99)</f>
        <v>9E+99</v>
      </c>
      <c r="G35" s="139">
        <f>IF(AND($F$2="tubing only",G14&gt;0),G26/G14,9E+99)</f>
        <v>9E+99</v>
      </c>
      <c r="H35" s="120"/>
    </row>
    <row r="36" ht="12.75">
      <c r="B36" s="98" t="s">
        <v>100</v>
      </c>
    </row>
  </sheetData>
  <sheetProtection password="DCC8" sheet="1"/>
  <mergeCells count="2">
    <mergeCell ref="C2:E2"/>
    <mergeCell ref="F2:G2"/>
  </mergeCells>
  <conditionalFormatting sqref="K27:K31">
    <cfRule type="cellIs" priority="10" dxfId="0" operator="greaterThanOrEqual" stopIfTrue="1">
      <formula>100</formula>
    </cfRule>
    <cfRule type="cellIs" priority="11" dxfId="1" operator="lessThan" stopIfTrue="1">
      <formula>100</formula>
    </cfRule>
  </conditionalFormatting>
  <conditionalFormatting sqref="K33">
    <cfRule type="cellIs" priority="1" dxfId="23" operator="between" stopIfTrue="1">
      <formula>100.1</formula>
      <formula>200</formula>
    </cfRule>
    <cfRule type="cellIs" priority="12" dxfId="1" operator="greaterThan" stopIfTrue="1">
      <formula>200</formula>
    </cfRule>
    <cfRule type="cellIs" priority="13" dxfId="0" operator="lessThanOrEqual" stopIfTrue="1">
      <formula>100</formula>
    </cfRule>
  </conditionalFormatting>
  <conditionalFormatting sqref="K26">
    <cfRule type="cellIs" priority="14" dxfId="0" operator="greaterThanOrEqual" stopIfTrue="1">
      <formula>100</formula>
    </cfRule>
    <cfRule type="cellIs" priority="15" dxfId="1" operator="lessThan" stopIfTrue="1">
      <formula>50</formula>
    </cfRule>
    <cfRule type="cellIs" priority="16" dxfId="10" operator="between" stopIfTrue="1">
      <formula>50</formula>
      <formula>100</formula>
    </cfRule>
  </conditionalFormatting>
  <conditionalFormatting sqref="E26:G32 E34:G34">
    <cfRule type="cellIs" priority="9" dxfId="16" operator="lessThan" stopIfTrue="1">
      <formula>0.95*$C26*(E$14/$C$14)</formula>
    </cfRule>
  </conditionalFormatting>
  <conditionalFormatting sqref="E33:G33">
    <cfRule type="cellIs" priority="8" dxfId="16" operator="greaterThan" stopIfTrue="1">
      <formula>1.05*$C33*($C$14/E$14)</formula>
    </cfRule>
  </conditionalFormatting>
  <conditionalFormatting sqref="K32">
    <cfRule type="cellIs" priority="5" dxfId="0" operator="greaterThanOrEqual" stopIfTrue="1">
      <formula>100</formula>
    </cfRule>
    <cfRule type="cellIs" priority="6" dxfId="1" operator="lessThan" stopIfTrue="1">
      <formula>50</formula>
    </cfRule>
    <cfRule type="cellIs" priority="7" dxfId="10" operator="between" stopIfTrue="1">
      <formula>50</formula>
      <formula>100</formula>
    </cfRule>
  </conditionalFormatting>
  <conditionalFormatting sqref="K34">
    <cfRule type="cellIs" priority="2" dxfId="0" operator="greaterThanOrEqual" stopIfTrue="1">
      <formula>100</formula>
    </cfRule>
    <cfRule type="cellIs" priority="3" dxfId="1" operator="lessThan" stopIfTrue="1">
      <formula>50</formula>
    </cfRule>
    <cfRule type="cellIs" priority="4" dxfId="10" operator="between" stopIfTrue="1">
      <formula>50</formula>
      <formula>100</formula>
    </cfRule>
  </conditionalFormatting>
  <dataValidations count="4">
    <dataValidation type="list" allowBlank="1" showInputMessage="1" showErrorMessage="1" sqref="F2">
      <formula1>ConstructionType</formula1>
    </dataValidation>
    <dataValidation type="list" allowBlank="1" showInputMessage="1" showErrorMessage="1" promptTitle="Select Material" sqref="J13:J14 C5 D5:D6 E5:G5 H5:H6 J5:J6 I5">
      <formula1>Materials</formula1>
    </dataValidation>
    <dataValidation type="list" allowBlank="1" showInputMessage="1" showErrorMessage="1" promptTitle="Select Material" sqref="E6:G6">
      <formula1>Tube_Type</formula1>
    </dataValidation>
    <dataValidation allowBlank="1" showInputMessage="1" showErrorMessage="1" promptTitle="Select Material" sqref="I6 C6"/>
  </dataValidations>
  <printOptions/>
  <pageMargins left="0.75" right="0.75" top="1" bottom="1" header="0.5" footer="0.5"/>
  <pageSetup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11"/>
  <dimension ref="B1:P34"/>
  <sheetViews>
    <sheetView showGridLines="0" zoomScalePageLayoutView="0" workbookViewId="0" topLeftCell="A1">
      <selection activeCell="B1" sqref="B1"/>
    </sheetView>
  </sheetViews>
  <sheetFormatPr defaultColWidth="9.140625" defaultRowHeight="12.75"/>
  <cols>
    <col min="1" max="1" width="3.421875" style="53" customWidth="1"/>
    <col min="2" max="2" width="47.00390625" style="53" customWidth="1"/>
    <col min="3" max="3" width="11.421875" style="53" customWidth="1"/>
    <col min="4" max="4" width="3.57421875" style="76" customWidth="1"/>
    <col min="5" max="5" width="13.8515625" style="53" customWidth="1"/>
    <col min="6" max="6" width="15.28125" style="53" customWidth="1"/>
    <col min="7" max="7" width="11.7109375" style="53" customWidth="1"/>
    <col min="8" max="8" width="6.8515625" style="53" customWidth="1"/>
    <col min="9" max="9" width="8.7109375" style="53" customWidth="1"/>
    <col min="10" max="16384" width="9.140625" style="53" customWidth="1"/>
  </cols>
  <sheetData>
    <row r="1" ht="15.75">
      <c r="B1" s="52" t="s">
        <v>116</v>
      </c>
    </row>
    <row r="2" spans="3:7" ht="12.75">
      <c r="C2" s="293" t="s">
        <v>29</v>
      </c>
      <c r="D2" s="294"/>
      <c r="E2" s="295"/>
      <c r="F2" s="296" t="s">
        <v>30</v>
      </c>
      <c r="G2" s="297"/>
    </row>
    <row r="3" ht="12.75"/>
    <row r="4" spans="2:7" ht="12.75">
      <c r="B4" s="54" t="s">
        <v>19</v>
      </c>
      <c r="C4" s="54" t="s">
        <v>1</v>
      </c>
      <c r="D4" s="77"/>
      <c r="E4" s="54" t="s">
        <v>2</v>
      </c>
      <c r="F4" s="89" t="s">
        <v>22</v>
      </c>
      <c r="G4" s="54" t="s">
        <v>23</v>
      </c>
    </row>
    <row r="5" spans="2:7" ht="12.75">
      <c r="B5" s="55" t="s">
        <v>34</v>
      </c>
      <c r="C5" s="43" t="s">
        <v>7</v>
      </c>
      <c r="E5" s="32"/>
      <c r="F5" s="50"/>
      <c r="G5" s="80"/>
    </row>
    <row r="6" spans="2:7" ht="12.75">
      <c r="B6" s="55" t="s">
        <v>50</v>
      </c>
      <c r="C6" s="43" t="s">
        <v>48</v>
      </c>
      <c r="E6" s="4"/>
      <c r="F6" s="83" t="s">
        <v>103</v>
      </c>
      <c r="G6" s="80"/>
    </row>
    <row r="7" spans="2:7" ht="12.75">
      <c r="B7" s="56" t="s">
        <v>20</v>
      </c>
      <c r="C7" s="45" t="str">
        <f>HLOOKUP(C5,MaterialData!$C$3:$K$4,2,FALSE)</f>
        <v>Steel</v>
      </c>
      <c r="D7" s="81"/>
      <c r="E7" s="45" t="e">
        <f>HLOOKUP(E5,MaterialData!$C$3:$K$4,2,FALSE)</f>
        <v>#N/A</v>
      </c>
      <c r="F7" s="45" t="e">
        <f>HLOOKUP(F5,MaterialData!$C$3:$K$4,2,FALSE)</f>
        <v>#N/A</v>
      </c>
      <c r="G7" s="82"/>
    </row>
    <row r="8" spans="2:12" ht="12.75">
      <c r="B8" s="56" t="s">
        <v>21</v>
      </c>
      <c r="C8" s="45">
        <f>INDEX(Innertable,MATCH($B8,MaterialData!$B$5:$B$10,0),MATCH(C$7,MaterialData!$C$4:$K$4,0))</f>
        <v>200000000000</v>
      </c>
      <c r="D8" s="81"/>
      <c r="E8" s="45" t="e">
        <f>INDEX(Innertable,MATCH($B8,MaterialData!$B$5:$B$10,0),MATCH(E$7,MaterialData!$C$4:$K$4,0))</f>
        <v>#N/A</v>
      </c>
      <c r="F8" s="45" t="e">
        <f>INDEX(Innertable,MATCH($B8,MaterialData!$B$5:$B$10,0),MATCH(F$7,MaterialData!$C$4:$K$4,0))</f>
        <v>#N/A</v>
      </c>
      <c r="G8" s="82"/>
      <c r="L8" s="57"/>
    </row>
    <row r="9" spans="2:12" ht="12.75">
      <c r="B9" s="56" t="s">
        <v>10</v>
      </c>
      <c r="C9" s="45">
        <f>INDEX(Innertable,MATCH($B9,MaterialData!$B$5:$B$10,0),MATCH(C$7,MaterialData!$C$4:$K$4,0))</f>
        <v>305000000</v>
      </c>
      <c r="D9" s="81"/>
      <c r="E9" s="45" t="e">
        <f>INDEX(Innertable,MATCH($B9,MaterialData!$B$5:$B$10,0),MATCH(E$7,MaterialData!$C$4:$K$4,0))</f>
        <v>#N/A</v>
      </c>
      <c r="F9" s="45" t="e">
        <f>INDEX(Innertable,MATCH($B9,MaterialData!$B$5:$B$10,0),MATCH(F$7,MaterialData!$C$4:$K$4,0))</f>
        <v>#N/A</v>
      </c>
      <c r="G9" s="82"/>
      <c r="L9" s="57"/>
    </row>
    <row r="10" spans="2:12" ht="12.75">
      <c r="B10" s="56" t="s">
        <v>11</v>
      </c>
      <c r="C10" s="45">
        <f>INDEX(Innertable,MATCH($B10,MaterialData!$B$5:$B$10,0),MATCH(C$7,MaterialData!$C$4:$K$4,0))</f>
        <v>365000000</v>
      </c>
      <c r="D10" s="81"/>
      <c r="E10" s="45" t="e">
        <f>INDEX(Innertable,MATCH($B10,MaterialData!$B$5:$B$10,0),MATCH(E$7,MaterialData!$C$4:$K$4,0))</f>
        <v>#N/A</v>
      </c>
      <c r="F10" s="45" t="e">
        <f>INDEX(Innertable,MATCH($B10,MaterialData!$B$5:$B$10,0),MATCH(F$7,MaterialData!$C$4:$K$4,0))</f>
        <v>#N/A</v>
      </c>
      <c r="G10" s="82"/>
      <c r="L10" s="57"/>
    </row>
    <row r="11" spans="2:12" ht="12.75">
      <c r="B11" s="56" t="s">
        <v>9</v>
      </c>
      <c r="C11" s="45">
        <f>INDEX(Innertable,MATCH($B11,MaterialData!$B$5:$B$10,0),MATCH(C$7,MaterialData!$C$4:$K$4,0))</f>
        <v>180000000</v>
      </c>
      <c r="D11" s="81"/>
      <c r="E11" s="45" t="e">
        <f>INDEX(Innertable,MATCH($B11,MaterialData!$B$5:$B$10,0),MATCH(E$7,MaterialData!$C$4:$K$4,0))</f>
        <v>#N/A</v>
      </c>
      <c r="F11" s="45" t="e">
        <f>INDEX(Innertable,MATCH($B11,MaterialData!$B$5:$B$10,0),MATCH(F$7,MaterialData!$C$4:$K$4,0))</f>
        <v>#N/A</v>
      </c>
      <c r="G11" s="82"/>
      <c r="L11" s="57"/>
    </row>
    <row r="12" spans="2:12" ht="12.75">
      <c r="B12" s="56" t="s">
        <v>8</v>
      </c>
      <c r="C12" s="45">
        <f>INDEX(Innertable,MATCH($B12,MaterialData!$B$5:$B$10,0),MATCH(C$7,MaterialData!$C$4:$K$4,0))</f>
        <v>300000000</v>
      </c>
      <c r="D12" s="81"/>
      <c r="E12" s="45" t="e">
        <f>INDEX(Innertable,MATCH($B12,MaterialData!$B$5:$B$10,0),MATCH(E$7,MaterialData!$C$4:$K$4,0))</f>
        <v>#N/A</v>
      </c>
      <c r="F12" s="45" t="e">
        <f>INDEX(Innertable,MATCH($B12,MaterialData!$B$5:$B$10,0),MATCH(F$7,MaterialData!$C$4:$K$4,0))</f>
        <v>#N/A</v>
      </c>
      <c r="G12" s="82"/>
      <c r="L12" s="57"/>
    </row>
    <row r="13" spans="3:12" ht="12.75">
      <c r="C13" s="76"/>
      <c r="D13" s="53"/>
      <c r="E13" s="80"/>
      <c r="G13" s="80"/>
      <c r="L13" s="57"/>
    </row>
    <row r="14" spans="2:12" ht="12.75">
      <c r="B14" s="56" t="s">
        <v>35</v>
      </c>
      <c r="C14" s="43">
        <v>1</v>
      </c>
      <c r="D14" s="53"/>
      <c r="E14" s="32"/>
      <c r="G14" s="80"/>
      <c r="L14" s="57"/>
    </row>
    <row r="15" spans="2:12" ht="12.75">
      <c r="B15" s="56" t="s">
        <v>114</v>
      </c>
      <c r="C15" s="43">
        <f>IF(AND(E15&gt;=25,E15&lt;25.4,E16&gt;=2.5),25,25.4)</f>
        <v>25.4</v>
      </c>
      <c r="E15" s="32"/>
      <c r="F15" s="76"/>
      <c r="G15" s="80"/>
      <c r="L15" s="57"/>
    </row>
    <row r="16" spans="2:12" ht="12.75">
      <c r="B16" s="56" t="s">
        <v>115</v>
      </c>
      <c r="C16" s="43">
        <f>IF(AND(E15&gt;=25,E15&lt;25.4,E16&gt;=2.5),2.5,2.4)</f>
        <v>2.4</v>
      </c>
      <c r="E16" s="32"/>
      <c r="F16" s="76"/>
      <c r="G16" s="80"/>
      <c r="L16" s="57"/>
    </row>
    <row r="17" spans="2:12" ht="12.75">
      <c r="B17" s="76"/>
      <c r="C17" s="76"/>
      <c r="E17" s="80"/>
      <c r="F17" s="76"/>
      <c r="G17" s="80"/>
      <c r="L17" s="57"/>
    </row>
    <row r="18" spans="2:12" ht="12.75">
      <c r="B18" s="75" t="s">
        <v>25</v>
      </c>
      <c r="C18" s="76"/>
      <c r="E18" s="80"/>
      <c r="F18" s="50"/>
      <c r="G18" s="80"/>
      <c r="L18" s="57"/>
    </row>
    <row r="19" spans="2:12" ht="12.75">
      <c r="B19" s="75" t="s">
        <v>26</v>
      </c>
      <c r="C19" s="76"/>
      <c r="E19" s="80"/>
      <c r="F19" s="50"/>
      <c r="G19" s="80"/>
      <c r="L19" s="57"/>
    </row>
    <row r="20" spans="2:12" ht="12.75">
      <c r="B20" s="75" t="s">
        <v>27</v>
      </c>
      <c r="E20" s="80"/>
      <c r="F20" s="83">
        <f>(F18-F19)/2</f>
        <v>0</v>
      </c>
      <c r="G20" s="80"/>
      <c r="L20" s="57"/>
    </row>
    <row r="21" spans="2:12" ht="12.75">
      <c r="B21" s="75" t="s">
        <v>28</v>
      </c>
      <c r="E21" s="80"/>
      <c r="F21" s="50"/>
      <c r="G21" s="80"/>
      <c r="L21" s="57"/>
    </row>
    <row r="22" spans="2:12" ht="12.75">
      <c r="B22" s="76"/>
      <c r="C22" s="76"/>
      <c r="E22" s="84"/>
      <c r="F22" s="76"/>
      <c r="G22" s="80"/>
      <c r="L22" s="57"/>
    </row>
    <row r="23" spans="2:12" ht="12.75">
      <c r="B23" s="56" t="s">
        <v>4</v>
      </c>
      <c r="C23" s="43">
        <f>C15/1000</f>
        <v>0.0254</v>
      </c>
      <c r="E23" s="43">
        <f>IF(F2="Composite only","No tubes",E15/1000)</f>
        <v>0</v>
      </c>
      <c r="F23" s="76"/>
      <c r="G23" s="80"/>
      <c r="L23" s="57"/>
    </row>
    <row r="24" spans="2:16" ht="12.75">
      <c r="B24" s="56" t="s">
        <v>107</v>
      </c>
      <c r="C24" s="43">
        <f>C16/1000</f>
        <v>0.0024</v>
      </c>
      <c r="E24" s="43">
        <f>IF(F2="Composite only","",E16/1000)</f>
        <v>0</v>
      </c>
      <c r="F24" s="76"/>
      <c r="G24" s="84"/>
      <c r="L24" s="57"/>
      <c r="P24" s="58"/>
    </row>
    <row r="25" spans="2:16" ht="12.75">
      <c r="B25" s="56" t="s">
        <v>3</v>
      </c>
      <c r="C25" s="45">
        <f>IF(C6="Round",((C23)^4-((C23-2*C24))^4)*3.142/64,((C23)^4-((C23-2*C24))^4)/12)</f>
        <v>1.1593489847999996E-08</v>
      </c>
      <c r="E25" s="45">
        <f>IF(F2="Composite only","",IF(E6="Round",((E23)^4-((E23-2*E24))^4)*3.142/64,IF(E6="Square",((E23)^4-((E23-2*E24))^4)/12,"")))</f>
      </c>
      <c r="F25" s="85" t="str">
        <f>IF($F$2="Tubing only","Tubing Only",(F21/1000)*((F18/1000)^3-(F19/1000)^3)/12)</f>
        <v>Tubing Only</v>
      </c>
      <c r="G25" s="45">
        <f aca="true" t="shared" si="0" ref="G25:G32">IF($F$2="Tubing only",E25,IF($F$2="Composite only",F25,IF($F$2="Tubes + Composite",E25+F25,"No Type Selected")))</f>
      </c>
      <c r="L25" s="57"/>
      <c r="O25" s="57"/>
      <c r="P25" s="58"/>
    </row>
    <row r="26" spans="2:8" ht="12.75">
      <c r="B26" s="56" t="s">
        <v>0</v>
      </c>
      <c r="C26" s="45">
        <f>C8*C25*C14</f>
        <v>2318.6979695999994</v>
      </c>
      <c r="D26" s="81"/>
      <c r="E26" s="45" t="e">
        <f>IF(F2="Composite only","",E8*E25)</f>
        <v>#N/A</v>
      </c>
      <c r="F26" s="86">
        <f>IF(F25="Tubing Only","",F25*F8)</f>
      </c>
      <c r="G26" s="45" t="e">
        <f t="shared" si="0"/>
        <v>#N/A</v>
      </c>
      <c r="H26" s="51" t="e">
        <f aca="true" t="shared" si="1" ref="H26:H34">100*G26/C26</f>
        <v>#N/A</v>
      </c>
    </row>
    <row r="27" spans="2:15" ht="12.75">
      <c r="B27" s="56" t="s">
        <v>108</v>
      </c>
      <c r="C27" s="46">
        <f>IF(C23="no tubes","",IF(C14=0,"",IF(C6="Round",C14*((C15^2-(C15-2*C16)^2)*PI()/4),IF(C6="Square",C14*(C15^2-(C15-2*C16)^2),""))))</f>
        <v>173.41591447815662</v>
      </c>
      <c r="D27" s="87"/>
      <c r="E27" s="46">
        <f>IF(E23="no tubes","",IF(E14=0,"",IF(E6="Round",E14*((E15^2-(E15-2*E16)^2)*PI()/4),IF(E6="Square",E14*(E15^2-(E15-2*E16)^2),""))))</f>
      </c>
      <c r="F27" s="46">
        <f>IF(F25="Tubing Only","",(F18-F19)*F21)</f>
      </c>
      <c r="G27" s="46">
        <f t="shared" si="0"/>
      </c>
      <c r="H27" s="51" t="e">
        <f t="shared" si="1"/>
        <v>#VALUE!</v>
      </c>
      <c r="I27" s="53" t="e">
        <f>IF(AND(95&lt;H27,H27&lt;100),"Provided your actual tube measures &gt;= your nominal OD and wall this is OK","")</f>
        <v>#VALUE!</v>
      </c>
      <c r="O27" s="57"/>
    </row>
    <row r="28" spans="2:9" ht="12.75">
      <c r="B28" s="56" t="s">
        <v>109</v>
      </c>
      <c r="C28" s="45">
        <f>C$27*C9/1000000</f>
        <v>52891.85391583777</v>
      </c>
      <c r="D28" s="81"/>
      <c r="E28" s="45" t="e">
        <f>IF(F2="Composite only","",E$27*E9/1000000)</f>
        <v>#VALUE!</v>
      </c>
      <c r="F28" s="45">
        <f>IF(F25="Tubing Only","",F27*F9/1000000)</f>
      </c>
      <c r="G28" s="45" t="e">
        <f t="shared" si="0"/>
        <v>#VALUE!</v>
      </c>
      <c r="H28" s="51" t="e">
        <f t="shared" si="1"/>
        <v>#VALUE!</v>
      </c>
      <c r="I28" s="53" t="e">
        <f>IF(AND(95&lt;H28,H28&lt;100),"Provided your actual tube measures &gt;= your nominal OD and wall this is OK","")</f>
        <v>#VALUE!</v>
      </c>
    </row>
    <row r="29" spans="2:15" ht="12.75">
      <c r="B29" s="56" t="s">
        <v>5</v>
      </c>
      <c r="C29" s="45">
        <f>C$27*C10/1000000</f>
        <v>63296.808784527166</v>
      </c>
      <c r="D29" s="81"/>
      <c r="E29" s="45" t="e">
        <f>IF(F2="Composite only","",E$27*E10/1000000)</f>
        <v>#VALUE!</v>
      </c>
      <c r="F29" s="45">
        <f>IF(F25="Tubing Only","",F27*F10/1000000)</f>
      </c>
      <c r="G29" s="45" t="e">
        <f t="shared" si="0"/>
        <v>#VALUE!</v>
      </c>
      <c r="H29" s="51" t="e">
        <f t="shared" si="1"/>
        <v>#VALUE!</v>
      </c>
      <c r="I29" s="53" t="e">
        <f>IF(AND(95&lt;H29,H29&lt;100),"Provided your actual tube measures &gt;= your nominal OD and wall this is OK","")</f>
        <v>#VALUE!</v>
      </c>
      <c r="O29" s="57"/>
    </row>
    <row r="30" spans="2:15" ht="12.75">
      <c r="B30" s="56" t="s">
        <v>110</v>
      </c>
      <c r="C30" s="45">
        <f>C$27*C11/1000000</f>
        <v>31214.864606068193</v>
      </c>
      <c r="D30" s="81"/>
      <c r="E30" s="45" t="e">
        <f>IF(F2="Composite only","",E$27*E11/1000000)</f>
        <v>#VALUE!</v>
      </c>
      <c r="F30" s="45">
        <f>IF(F25="Tubing Only","",F27*F9/1000000)</f>
      </c>
      <c r="G30" s="45" t="e">
        <f t="shared" si="0"/>
        <v>#VALUE!</v>
      </c>
      <c r="H30" s="51" t="e">
        <f t="shared" si="1"/>
        <v>#VALUE!</v>
      </c>
      <c r="I30" s="53" t="e">
        <f>IF(AND(95&lt;H30,H30&lt;100),"Provided your actual tube measures &gt;= your nominal OD and wall this is OK","")</f>
        <v>#VALUE!</v>
      </c>
      <c r="O30" s="57"/>
    </row>
    <row r="31" spans="2:15" ht="12.75">
      <c r="B31" s="56" t="s">
        <v>6</v>
      </c>
      <c r="C31" s="45">
        <f>IF(C14=0,"",C$27*C12/1000000)</f>
        <v>52024.77434344698</v>
      </c>
      <c r="D31" s="81"/>
      <c r="E31" s="45" t="e">
        <f>IF(F2="Composite only","",E$27*E12/1000000)</f>
        <v>#VALUE!</v>
      </c>
      <c r="F31" s="45">
        <f>IF(F25="tubing only","",F27*F10/1000000)</f>
      </c>
      <c r="G31" s="45" t="e">
        <f t="shared" si="0"/>
        <v>#VALUE!</v>
      </c>
      <c r="H31" s="51" t="e">
        <f t="shared" si="1"/>
        <v>#VALUE!</v>
      </c>
      <c r="I31" s="53" t="e">
        <f>IF(AND(95&lt;H31,H31&lt;100),"Provided your actual tube measures &gt;= your nominal OD and wall this is OK","")</f>
        <v>#VALUE!</v>
      </c>
      <c r="O31" s="57"/>
    </row>
    <row r="32" spans="2:8" ht="12.75">
      <c r="B32" s="56" t="s">
        <v>111</v>
      </c>
      <c r="C32" s="45">
        <f>C14*4*C10*C25/(0.5*C23*1)</f>
        <v>1332.7948959118107</v>
      </c>
      <c r="E32" s="45" t="e">
        <f>IF(F2="Composite only","",E14*4*E10*E25/(0.5*E23*1))</f>
        <v>#N/A</v>
      </c>
      <c r="F32" s="45">
        <f>IF(F25="tubing only","",4*F10*(F25*2/(F18/1000))/1)</f>
      </c>
      <c r="G32" s="45" t="e">
        <f t="shared" si="0"/>
        <v>#N/A</v>
      </c>
      <c r="H32" s="51" t="e">
        <f t="shared" si="1"/>
        <v>#N/A</v>
      </c>
    </row>
    <row r="33" spans="2:8" ht="12.75">
      <c r="B33" s="56" t="s">
        <v>112</v>
      </c>
      <c r="C33" s="45">
        <f>IF(C14=0,"",C32*1^3/(48*C26))</f>
        <v>0.011975065616797901</v>
      </c>
      <c r="E33" s="45" t="e">
        <f>IF($F$2="tubing only",$C$32*1^3/(48*E26),"")</f>
        <v>#N/A</v>
      </c>
      <c r="F33" s="45">
        <f>IF(NOT($F$2="tubing only"),$C$32*1^3/(48*F26),"")</f>
      </c>
      <c r="G33" s="45" t="e">
        <f>$C$32*1^3/(48*G26)</f>
        <v>#N/A</v>
      </c>
      <c r="H33" s="51" t="e">
        <f>100*G33/C33</f>
        <v>#N/A</v>
      </c>
    </row>
    <row r="34" spans="2:8" ht="12.75">
      <c r="B34" s="56" t="s">
        <v>113</v>
      </c>
      <c r="C34" s="45">
        <f>0.5*C32*(C32*1^3/(48*C26))</f>
        <v>7.980153166138631</v>
      </c>
      <c r="D34" s="66"/>
      <c r="E34" s="45" t="e">
        <f>IF(E23="no tubes","",0.5*E32*(E32*1^3/(48*E26)))</f>
        <v>#N/A</v>
      </c>
      <c r="F34" s="45">
        <f>IF(F25="tubing only","",0.5*F32*(F32*1^3/(48*F26)))</f>
      </c>
      <c r="G34" s="45" t="e">
        <f>IF($F$2="Tubing only",E34,IF($F$2="Composite only",F34,IF($F$2="Tubes + Composite",E34+F34,"No Type Selected")))</f>
        <v>#N/A</v>
      </c>
      <c r="H34" s="51" t="e">
        <f t="shared" si="1"/>
        <v>#N/A</v>
      </c>
    </row>
  </sheetData>
  <sheetProtection password="DCC8" sheet="1" objects="1" scenarios="1"/>
  <mergeCells count="2">
    <mergeCell ref="C2:E2"/>
    <mergeCell ref="F2:G2"/>
  </mergeCells>
  <conditionalFormatting sqref="H33">
    <cfRule type="cellIs" priority="1" dxfId="1" operator="greaterThanOrEqual" stopIfTrue="1">
      <formula>100.01</formula>
    </cfRule>
    <cfRule type="cellIs" priority="2" dxfId="0" operator="lessThan" stopIfTrue="1">
      <formula>100.01</formula>
    </cfRule>
  </conditionalFormatting>
  <conditionalFormatting sqref="H26:H27">
    <cfRule type="cellIs" priority="3" dxfId="0" operator="greaterThanOrEqual" stopIfTrue="1">
      <formula>100</formula>
    </cfRule>
    <cfRule type="cellIs" priority="4" dxfId="1" operator="lessThan" stopIfTrue="1">
      <formula>100</formula>
    </cfRule>
  </conditionalFormatting>
  <conditionalFormatting sqref="H28:H32 H34">
    <cfRule type="cellIs" priority="5" dxfId="0" operator="greaterThan" stopIfTrue="1">
      <formula>99.9</formula>
    </cfRule>
    <cfRule type="cellIs" priority="6" dxfId="1" operator="lessThan" stopIfTrue="1">
      <formula>99.9</formula>
    </cfRule>
  </conditionalFormatting>
  <dataValidations count="3">
    <dataValidation type="list" allowBlank="1" showInputMessage="1" showErrorMessage="1" promptTitle="Select Material" sqref="G13:G14 C5 D5:D6 G5:G6 E5:F5">
      <formula1>Materials</formula1>
    </dataValidation>
    <dataValidation type="list" allowBlank="1" showInputMessage="1" showErrorMessage="1" sqref="F2">
      <formula1>ConstructionType</formula1>
    </dataValidation>
    <dataValidation type="list" allowBlank="1" showInputMessage="1" showErrorMessage="1" sqref="E6">
      <formula1>Tube_Type</formula1>
    </dataValidation>
  </dataValidations>
  <printOptions/>
  <pageMargins left="0.75" right="0.75" top="1" bottom="1" header="0.5" footer="0.5"/>
  <pageSetup orientation="portrait" paperSize="9" r:id="rId3"/>
  <legacyDrawing r:id="rId2"/>
</worksheet>
</file>

<file path=xl/worksheets/sheet15.xml><?xml version="1.0" encoding="utf-8"?>
<worksheet xmlns="http://schemas.openxmlformats.org/spreadsheetml/2006/main" xmlns:r="http://schemas.openxmlformats.org/officeDocument/2006/relationships">
  <sheetPr codeName="Sheet22"/>
  <dimension ref="B1:O55"/>
  <sheetViews>
    <sheetView showGridLines="0" zoomScalePageLayoutView="0" workbookViewId="0" topLeftCell="A1">
      <selection activeCell="C4" sqref="C4"/>
    </sheetView>
  </sheetViews>
  <sheetFormatPr defaultColWidth="9.140625" defaultRowHeight="12.75"/>
  <cols>
    <col min="1" max="1" width="5.140625" style="53" customWidth="1"/>
    <col min="2" max="2" width="46.140625" style="53" customWidth="1"/>
    <col min="3" max="3" width="11.421875" style="53" customWidth="1"/>
    <col min="4" max="4" width="10.57421875" style="53" customWidth="1"/>
    <col min="5" max="5" width="13.7109375" style="53" bestFit="1" customWidth="1"/>
    <col min="6" max="6" width="8.7109375" style="53" customWidth="1"/>
    <col min="7" max="7" width="9.140625" style="74" customWidth="1"/>
    <col min="8" max="8" width="12.421875" style="74" bestFit="1" customWidth="1"/>
    <col min="9" max="15" width="9.140625" style="74" customWidth="1"/>
    <col min="16" max="16384" width="9.140625" style="53" customWidth="1"/>
  </cols>
  <sheetData>
    <row r="1" spans="2:15" ht="15.75">
      <c r="B1" s="52" t="s">
        <v>149</v>
      </c>
      <c r="G1" s="117"/>
      <c r="H1" s="117"/>
      <c r="I1" s="117"/>
      <c r="J1" s="117"/>
      <c r="K1" s="117"/>
      <c r="L1" s="117"/>
      <c r="M1" s="117"/>
      <c r="N1" s="117"/>
      <c r="O1" s="117"/>
    </row>
    <row r="2" spans="2:15" ht="12.75">
      <c r="B2" s="98" t="s">
        <v>123</v>
      </c>
      <c r="G2" s="117"/>
      <c r="H2" s="117"/>
      <c r="I2" s="117"/>
      <c r="J2" s="117"/>
      <c r="K2" s="117"/>
      <c r="L2" s="117"/>
      <c r="M2" s="117"/>
      <c r="N2" s="117"/>
      <c r="O2" s="117"/>
    </row>
    <row r="3" spans="2:15" s="68" customFormat="1" ht="38.25">
      <c r="B3" s="67" t="s">
        <v>19</v>
      </c>
      <c r="C3" s="67" t="s">
        <v>2</v>
      </c>
      <c r="D3" s="67" t="s">
        <v>118</v>
      </c>
      <c r="G3" s="142"/>
      <c r="H3" s="142"/>
      <c r="I3" s="142"/>
      <c r="J3" s="142"/>
      <c r="K3" s="142"/>
      <c r="L3" s="142"/>
      <c r="M3" s="142"/>
      <c r="N3" s="142"/>
      <c r="O3" s="142"/>
    </row>
    <row r="4" spans="2:15" ht="12.75">
      <c r="B4" s="55" t="s">
        <v>34</v>
      </c>
      <c r="C4" s="32"/>
      <c r="D4" s="43">
        <f>C4</f>
        <v>0</v>
      </c>
      <c r="G4" s="117"/>
      <c r="H4" s="117"/>
      <c r="I4" s="117"/>
      <c r="J4" s="117"/>
      <c r="K4" s="117"/>
      <c r="L4" s="117"/>
      <c r="M4" s="117"/>
      <c r="N4" s="117"/>
      <c r="O4" s="117"/>
    </row>
    <row r="5" spans="2:15" ht="12.75">
      <c r="B5" s="55" t="s">
        <v>135</v>
      </c>
      <c r="C5" s="32"/>
      <c r="D5" s="44" t="s">
        <v>103</v>
      </c>
      <c r="G5" s="117"/>
      <c r="H5" s="117"/>
      <c r="I5" s="117"/>
      <c r="J5" s="117"/>
      <c r="K5" s="117"/>
      <c r="L5" s="117"/>
      <c r="M5" s="117"/>
      <c r="N5" s="117"/>
      <c r="O5" s="117"/>
    </row>
    <row r="6" spans="2:15" ht="12.75">
      <c r="B6" s="56" t="s">
        <v>20</v>
      </c>
      <c r="C6" s="45">
        <f>IF(C$4="Steel",MaterialData!C4,IF(C$4="Aluminium 1",MaterialData!D4,IF(C$4="Aluminium 2",MaterialData!E4,IF(C$4="Carbon",MaterialData!#REF!,IF(C$4="Other 1",MaterialData!F4,IF(C$4="Other 2",MaterialData!G4,IF(C$4="Other 3",MaterialData!H4,0)))))))</f>
        <v>0</v>
      </c>
      <c r="D6" s="45">
        <f>C6</f>
        <v>0</v>
      </c>
      <c r="G6" s="117"/>
      <c r="H6" s="117"/>
      <c r="I6" s="117"/>
      <c r="J6" s="117"/>
      <c r="K6" s="117"/>
      <c r="L6" s="117"/>
      <c r="M6" s="117"/>
      <c r="N6" s="117"/>
      <c r="O6" s="117"/>
    </row>
    <row r="7" spans="2:15" ht="12.75">
      <c r="B7" s="56" t="s">
        <v>21</v>
      </c>
      <c r="C7" s="45">
        <f>IF(C$4="Steel",MaterialData!C5,IF(C$4="Aluminium 1",MaterialData!D5,IF(C$4="Aluminium 2",MaterialData!E5,IF(C$4="Carbon",MaterialData!#REF!,IF(C$4="Other 1",MaterialData!F5,IF(C$4="Other 2",MaterialData!G5,IF(C$4="Other 3",MaterialData!H5,0)))))))</f>
        <v>0</v>
      </c>
      <c r="D7" s="45">
        <f>IF(D$4="Steel",MaterialData!C5,IF(D$4="Aluminium 1",MaterialData!D5,IF(D$4="Aluminium 2",MaterialData!E5,IF(D$4="Carbon",MaterialData!#REF!,IF(D$4="Other 1",MaterialData!F5,IF(D$4="Other 2",MaterialData!G5,IF(D$4="Other 2",MaterialData!H5,0)))))))</f>
        <v>0</v>
      </c>
      <c r="G7" s="117"/>
      <c r="H7" s="117"/>
      <c r="I7" s="118"/>
      <c r="J7" s="117"/>
      <c r="K7" s="117"/>
      <c r="L7" s="117"/>
      <c r="M7" s="117"/>
      <c r="N7" s="117"/>
      <c r="O7" s="117"/>
    </row>
    <row r="8" spans="2:15" ht="12.75">
      <c r="B8" s="56" t="s">
        <v>10</v>
      </c>
      <c r="C8" s="45">
        <f>IF(C$4="Steel",MaterialData!C6,IF(C$4="Aluminium 1",MaterialData!D6,IF(C$4="Aluminium 2",MaterialData!E6,IF(C$4="Carbon",MaterialData!#REF!,IF(C$4="Other 1",MaterialData!F6,IF(C$4="Other 2",MaterialData!G6,IF(C$4="Other 3",MaterialData!H6,0)))))))</f>
        <v>0</v>
      </c>
      <c r="D8" s="45">
        <f>IF(D$4="Steel",MaterialData!C6,IF(D$4="Aluminium 1",MaterialData!D6,IF(D$4="Aluminium 2",MaterialData!E6,IF(D$4="Carbon",MaterialData!#REF!,IF(D$4="Other 1",MaterialData!F6,IF(D$4="Other 2",MaterialData!G6,IF(D$4="Other 2",MaterialData!H6,0)))))))</f>
        <v>0</v>
      </c>
      <c r="G8" s="117"/>
      <c r="H8" s="117"/>
      <c r="I8" s="118"/>
      <c r="J8" s="117"/>
      <c r="K8" s="117"/>
      <c r="L8" s="117"/>
      <c r="M8" s="117"/>
      <c r="N8" s="117"/>
      <c r="O8" s="117"/>
    </row>
    <row r="9" spans="2:15" ht="12.75">
      <c r="B9" s="56" t="s">
        <v>11</v>
      </c>
      <c r="C9" s="45">
        <f>IF(C$4="Steel",MaterialData!C7,IF(C$4="Aluminium 1",MaterialData!D7,IF(C$4="Aluminium 2",MaterialData!E7,IF(C$4="Carbon",MaterialData!#REF!,IF(C$4="Other 1",MaterialData!F7,IF(C$4="Other 2",MaterialData!G7,IF(C$4="Other 3",MaterialData!H7,0)))))))</f>
        <v>0</v>
      </c>
      <c r="D9" s="45">
        <f>IF(D$4="Steel",MaterialData!C7,IF(D$4="Aluminium 1",MaterialData!D7,IF(D$4="Aluminium 2",MaterialData!E7,IF(D$4="Carbon",MaterialData!#REF!,IF(D$4="Other 1",MaterialData!F7,IF(D$4="Other 2",MaterialData!G7,IF(D$4="Other 2",MaterialData!H7,0)))))))</f>
        <v>0</v>
      </c>
      <c r="G9" s="117"/>
      <c r="H9" s="117"/>
      <c r="I9" s="118"/>
      <c r="J9" s="117"/>
      <c r="K9" s="117"/>
      <c r="L9" s="117"/>
      <c r="M9" s="117"/>
      <c r="N9" s="117"/>
      <c r="O9" s="117"/>
    </row>
    <row r="10" spans="2:15" ht="12.75">
      <c r="B10" s="56" t="s">
        <v>9</v>
      </c>
      <c r="C10" s="45" t="s">
        <v>103</v>
      </c>
      <c r="D10" s="45">
        <f>IF(D$4="Steel",MaterialData!C8,IF(D$4="Aluminium 1",MaterialData!D8,IF(D$4="Aluminium 2",MaterialData!E8,IF(D$4="Carbon",MaterialData!#REF!,IF(D$4="Other 1",MaterialData!F8,IF(D$4="Other 2",MaterialData!G8,IF(D$4="Other 2",MaterialData!H8,0)))))))</f>
        <v>0</v>
      </c>
      <c r="G10" s="117"/>
      <c r="H10" s="117"/>
      <c r="I10" s="118"/>
      <c r="J10" s="117"/>
      <c r="K10" s="117"/>
      <c r="L10" s="117"/>
      <c r="M10" s="117"/>
      <c r="N10" s="117"/>
      <c r="O10" s="117"/>
    </row>
    <row r="11" spans="2:15" ht="12.75">
      <c r="B11" s="56" t="s">
        <v>8</v>
      </c>
      <c r="C11" s="45" t="s">
        <v>103</v>
      </c>
      <c r="D11" s="45">
        <f>IF(D$4="Steel",MaterialData!C9,IF(D$4="Aluminium 1",MaterialData!D9,IF(D$4="Aluminium 2",MaterialData!E9,IF(D$4="Carbon",MaterialData!#REF!,IF(D$4="Other 1",MaterialData!F9,IF(D$4="Other 2",MaterialData!G9,IF(D$4="Other 2",MaterialData!H9,0)))))))</f>
        <v>0</v>
      </c>
      <c r="G11" s="117"/>
      <c r="H11" s="117"/>
      <c r="I11" s="118"/>
      <c r="J11" s="117"/>
      <c r="K11" s="117"/>
      <c r="L11" s="117"/>
      <c r="M11" s="117"/>
      <c r="N11" s="117"/>
      <c r="O11" s="117"/>
    </row>
    <row r="12" spans="7:15" ht="12.75">
      <c r="G12" s="117"/>
      <c r="H12" s="117"/>
      <c r="I12" s="118"/>
      <c r="J12" s="117"/>
      <c r="K12" s="117"/>
      <c r="L12" s="117"/>
      <c r="M12" s="117"/>
      <c r="N12" s="117"/>
      <c r="O12" s="117"/>
    </row>
    <row r="13" spans="2:15" ht="12.75">
      <c r="B13" s="56" t="s">
        <v>114</v>
      </c>
      <c r="C13" s="186"/>
      <c r="D13" s="188"/>
      <c r="G13" s="117"/>
      <c r="H13" s="117"/>
      <c r="I13" s="118"/>
      <c r="J13" s="117"/>
      <c r="K13" s="117"/>
      <c r="L13" s="117"/>
      <c r="M13" s="117"/>
      <c r="N13" s="117"/>
      <c r="O13" s="117"/>
    </row>
    <row r="14" spans="2:15" ht="12.75">
      <c r="B14" s="56" t="s">
        <v>115</v>
      </c>
      <c r="C14" s="186"/>
      <c r="D14" s="188"/>
      <c r="G14" s="117"/>
      <c r="H14" s="117"/>
      <c r="I14" s="118"/>
      <c r="J14" s="117"/>
      <c r="K14" s="117"/>
      <c r="L14" s="117"/>
      <c r="M14" s="117"/>
      <c r="N14" s="117"/>
      <c r="O14" s="117"/>
    </row>
    <row r="15" spans="7:15" ht="12.75">
      <c r="G15" s="117"/>
      <c r="H15" s="117"/>
      <c r="I15" s="118"/>
      <c r="J15" s="117"/>
      <c r="K15" s="117"/>
      <c r="L15" s="117"/>
      <c r="M15" s="117"/>
      <c r="N15" s="117"/>
      <c r="O15" s="117"/>
    </row>
    <row r="16" spans="2:15" s="68" customFormat="1" ht="38.25">
      <c r="B16" s="70"/>
      <c r="C16" s="67" t="s">
        <v>2</v>
      </c>
      <c r="D16" s="67" t="s">
        <v>118</v>
      </c>
      <c r="G16" s="142"/>
      <c r="H16" s="142"/>
      <c r="I16" s="143"/>
      <c r="J16" s="142"/>
      <c r="K16" s="142"/>
      <c r="L16" s="142"/>
      <c r="M16" s="142"/>
      <c r="N16" s="142"/>
      <c r="O16" s="142"/>
    </row>
    <row r="17" spans="2:15" ht="12.75">
      <c r="B17" s="56" t="s">
        <v>4</v>
      </c>
      <c r="C17" s="298">
        <f>C13/1000</f>
        <v>0</v>
      </c>
      <c r="D17" s="299"/>
      <c r="G17" s="117"/>
      <c r="H17" s="117"/>
      <c r="I17" s="118"/>
      <c r="J17" s="117"/>
      <c r="K17" s="117"/>
      <c r="L17" s="117"/>
      <c r="M17" s="117"/>
      <c r="N17" s="117"/>
      <c r="O17" s="117"/>
    </row>
    <row r="18" spans="2:15" ht="12.75">
      <c r="B18" s="56" t="s">
        <v>107</v>
      </c>
      <c r="C18" s="298">
        <f>C14/1000</f>
        <v>0</v>
      </c>
      <c r="D18" s="299"/>
      <c r="G18" s="117"/>
      <c r="H18" s="117"/>
      <c r="I18" s="118"/>
      <c r="J18" s="117"/>
      <c r="K18" s="117"/>
      <c r="L18" s="117"/>
      <c r="M18" s="144"/>
      <c r="N18" s="117"/>
      <c r="O18" s="117"/>
    </row>
    <row r="19" spans="2:15" ht="12.75">
      <c r="B19" s="56" t="s">
        <v>3</v>
      </c>
      <c r="C19" s="43">
        <f>((C17)^4-((C17-2*C18))^4)*3.142/64</f>
        <v>0</v>
      </c>
      <c r="D19" s="33"/>
      <c r="G19" s="117"/>
      <c r="H19" s="117"/>
      <c r="I19" s="118"/>
      <c r="J19" s="117"/>
      <c r="K19" s="117"/>
      <c r="L19" s="118"/>
      <c r="M19" s="144"/>
      <c r="N19" s="117"/>
      <c r="O19" s="117"/>
    </row>
    <row r="20" spans="2:15" ht="12.75">
      <c r="B20" s="56" t="s">
        <v>0</v>
      </c>
      <c r="C20" s="45">
        <f>C7*C19</f>
        <v>0</v>
      </c>
      <c r="D20" s="45">
        <f>D7*D19</f>
        <v>0</v>
      </c>
      <c r="E20" s="51" t="e">
        <f aca="true" t="shared" si="0" ref="E20:E27">100*D20/C20</f>
        <v>#DIV/0!</v>
      </c>
      <c r="G20" s="117"/>
      <c r="H20" s="117"/>
      <c r="I20" s="117"/>
      <c r="J20" s="117"/>
      <c r="K20" s="117"/>
      <c r="L20" s="117"/>
      <c r="M20" s="117"/>
      <c r="N20" s="117"/>
      <c r="O20" s="117"/>
    </row>
    <row r="21" spans="2:15" ht="12.75">
      <c r="B21" s="56" t="s">
        <v>136</v>
      </c>
      <c r="C21" s="138" t="b">
        <f>IF(C5="Round",((C13^2-(C13-2*C14)^2)*PI()/4),IF(C5="Square",(C13^2-(C13-2*C14)^2)))</f>
        <v>0</v>
      </c>
      <c r="D21" s="72"/>
      <c r="E21" s="59" t="s">
        <v>24</v>
      </c>
      <c r="G21" s="117"/>
      <c r="H21" s="117"/>
      <c r="I21" s="117"/>
      <c r="J21" s="117"/>
      <c r="K21" s="117"/>
      <c r="L21" s="118"/>
      <c r="M21" s="117"/>
      <c r="N21" s="117"/>
      <c r="O21" s="117"/>
    </row>
    <row r="22" spans="2:15" ht="12.75">
      <c r="B22" s="56" t="s">
        <v>137</v>
      </c>
      <c r="C22" s="141" t="s">
        <v>24</v>
      </c>
      <c r="D22" s="72"/>
      <c r="E22" s="59" t="s">
        <v>24</v>
      </c>
      <c r="G22" s="117"/>
      <c r="H22" s="117"/>
      <c r="I22" s="117"/>
      <c r="J22" s="117"/>
      <c r="K22" s="117"/>
      <c r="L22" s="118"/>
      <c r="M22" s="117"/>
      <c r="N22" s="117"/>
      <c r="O22" s="117"/>
    </row>
    <row r="23" spans="2:15" ht="12.75">
      <c r="B23" s="56" t="s">
        <v>109</v>
      </c>
      <c r="C23" s="45">
        <f>C$21*C8/1000000</f>
        <v>0</v>
      </c>
      <c r="D23" s="45">
        <f>(D$21*D8+D10*$D$22)/1000000</f>
        <v>0</v>
      </c>
      <c r="E23" s="51" t="e">
        <f t="shared" si="0"/>
        <v>#DIV/0!</v>
      </c>
      <c r="G23" s="117"/>
      <c r="H23" s="117"/>
      <c r="I23" s="117"/>
      <c r="J23" s="117"/>
      <c r="K23" s="117"/>
      <c r="L23" s="118"/>
      <c r="M23" s="117"/>
      <c r="N23" s="117"/>
      <c r="O23" s="117"/>
    </row>
    <row r="24" spans="2:15" ht="12.75">
      <c r="B24" s="56" t="s">
        <v>5</v>
      </c>
      <c r="C24" s="45">
        <f>C21*C9/1000000</f>
        <v>0</v>
      </c>
      <c r="D24" s="45">
        <f>(D$21*D9+D11*$D$22)/1000000</f>
        <v>0</v>
      </c>
      <c r="E24" s="51" t="e">
        <f t="shared" si="0"/>
        <v>#DIV/0!</v>
      </c>
      <c r="G24" s="117"/>
      <c r="H24" s="117"/>
      <c r="I24" s="117"/>
      <c r="J24" s="117"/>
      <c r="K24" s="117"/>
      <c r="L24" s="118"/>
      <c r="M24" s="117"/>
      <c r="N24" s="117"/>
      <c r="O24" s="117"/>
    </row>
    <row r="25" spans="2:15" ht="12.75">
      <c r="B25" s="56" t="s">
        <v>111</v>
      </c>
      <c r="C25" s="45" t="e">
        <f>4*C9*(C19*2/(C17))/1</f>
        <v>#DIV/0!</v>
      </c>
      <c r="D25" s="45" t="e">
        <f>4*D9*(D19*2/(C17))/1</f>
        <v>#DIV/0!</v>
      </c>
      <c r="E25" s="51" t="e">
        <f t="shared" si="0"/>
        <v>#DIV/0!</v>
      </c>
      <c r="G25" s="117"/>
      <c r="H25" s="117"/>
      <c r="I25" s="117"/>
      <c r="J25" s="117"/>
      <c r="K25" s="117"/>
      <c r="L25" s="117"/>
      <c r="M25" s="117"/>
      <c r="N25" s="117"/>
      <c r="O25" s="117"/>
    </row>
    <row r="26" spans="2:15" ht="12.75">
      <c r="B26" s="56" t="s">
        <v>112</v>
      </c>
      <c r="C26" s="45" t="e">
        <f>C25*1^3/(48*C7*C19)</f>
        <v>#DIV/0!</v>
      </c>
      <c r="D26" s="45">
        <f>IF(D19&gt;0,C25*1^3/(48*D7*D19),0)</f>
        <v>0</v>
      </c>
      <c r="E26" s="51">
        <f>IF(D26=0,999,100*D26/C26)</f>
        <v>999</v>
      </c>
      <c r="G26" s="117"/>
      <c r="H26" s="117"/>
      <c r="I26" s="117"/>
      <c r="J26" s="117"/>
      <c r="K26" s="117"/>
      <c r="L26" s="117"/>
      <c r="M26" s="117"/>
      <c r="N26" s="117"/>
      <c r="O26" s="117"/>
    </row>
    <row r="27" spans="2:15" ht="12.75">
      <c r="B27" s="56" t="s">
        <v>113</v>
      </c>
      <c r="C27" s="45" t="e">
        <f>0.5*C25*(C25*1^3/(48*C7*C19))</f>
        <v>#DIV/0!</v>
      </c>
      <c r="D27" s="45">
        <f>IF(D19&gt;0,0.5*D25*(D25*1^3/(48*D7*D19)),0)</f>
        <v>0</v>
      </c>
      <c r="E27" s="51" t="e">
        <f t="shared" si="0"/>
        <v>#DIV/0!</v>
      </c>
      <c r="G27" s="117"/>
      <c r="H27" s="117"/>
      <c r="I27" s="117"/>
      <c r="J27" s="117"/>
      <c r="K27" s="117"/>
      <c r="L27" s="117"/>
      <c r="M27" s="117"/>
      <c r="N27" s="117"/>
      <c r="O27" s="117"/>
    </row>
    <row r="28" spans="2:15" ht="12.75">
      <c r="B28" s="71" t="s">
        <v>119</v>
      </c>
      <c r="G28" s="117"/>
      <c r="H28" s="117"/>
      <c r="I28" s="117"/>
      <c r="J28" s="117"/>
      <c r="K28" s="117"/>
      <c r="L28" s="117"/>
      <c r="M28" s="117"/>
      <c r="N28" s="117"/>
      <c r="O28" s="117"/>
    </row>
    <row r="29" spans="2:15" ht="12.75">
      <c r="B29" s="71" t="s">
        <v>124</v>
      </c>
      <c r="D29" s="57"/>
      <c r="G29" s="117"/>
      <c r="H29" s="117"/>
      <c r="I29" s="117"/>
      <c r="J29" s="117"/>
      <c r="K29" s="117"/>
      <c r="L29" s="117"/>
      <c r="M29" s="117"/>
      <c r="N29" s="117"/>
      <c r="O29" s="117"/>
    </row>
    <row r="30" spans="2:15" ht="12.75">
      <c r="B30" s="119" t="s">
        <v>125</v>
      </c>
      <c r="C30" s="117"/>
      <c r="D30" s="118"/>
      <c r="E30" s="117"/>
      <c r="F30" s="117"/>
      <c r="G30" s="117"/>
      <c r="H30" s="117"/>
      <c r="I30" s="117"/>
      <c r="J30" s="117"/>
      <c r="K30" s="117"/>
      <c r="L30" s="117"/>
      <c r="M30" s="117"/>
      <c r="N30" s="117"/>
      <c r="O30" s="117"/>
    </row>
    <row r="31" spans="2:15" s="74" customFormat="1" ht="12.75">
      <c r="B31" s="117"/>
      <c r="C31" s="117"/>
      <c r="D31" s="117"/>
      <c r="E31" s="117"/>
      <c r="F31" s="117"/>
      <c r="G31" s="117"/>
      <c r="H31" s="117"/>
      <c r="I31" s="117"/>
      <c r="J31" s="117"/>
      <c r="K31" s="117"/>
      <c r="L31" s="117"/>
      <c r="M31" s="117"/>
      <c r="N31" s="117"/>
      <c r="O31" s="117"/>
    </row>
    <row r="32" spans="2:15" s="74" customFormat="1" ht="12.75">
      <c r="B32" s="117"/>
      <c r="C32" s="117"/>
      <c r="D32" s="117"/>
      <c r="E32" s="117"/>
      <c r="F32" s="117"/>
      <c r="G32" s="117"/>
      <c r="H32" s="117"/>
      <c r="I32" s="117"/>
      <c r="J32" s="117"/>
      <c r="K32" s="117"/>
      <c r="L32" s="117"/>
      <c r="M32" s="117"/>
      <c r="N32" s="117"/>
      <c r="O32" s="117"/>
    </row>
    <row r="33" spans="2:15" s="74" customFormat="1" ht="12.75">
      <c r="B33" s="117"/>
      <c r="C33" s="117"/>
      <c r="D33" s="117"/>
      <c r="E33" s="117"/>
      <c r="F33" s="117"/>
      <c r="G33" s="117"/>
      <c r="H33" s="117"/>
      <c r="I33" s="117"/>
      <c r="J33" s="117"/>
      <c r="K33" s="117"/>
      <c r="L33" s="117"/>
      <c r="M33" s="117"/>
      <c r="N33" s="117"/>
      <c r="O33" s="117"/>
    </row>
    <row r="34" spans="2:15" s="74" customFormat="1" ht="12.75">
      <c r="B34" s="117"/>
      <c r="C34" s="117"/>
      <c r="D34" s="117"/>
      <c r="E34" s="117"/>
      <c r="F34" s="117"/>
      <c r="G34" s="117"/>
      <c r="H34" s="117"/>
      <c r="I34" s="117"/>
      <c r="J34" s="117"/>
      <c r="K34" s="117"/>
      <c r="L34" s="117"/>
      <c r="M34" s="117"/>
      <c r="N34" s="117"/>
      <c r="O34" s="117"/>
    </row>
    <row r="35" spans="2:15" s="74" customFormat="1" ht="12.75">
      <c r="B35" s="117"/>
      <c r="C35" s="117"/>
      <c r="D35" s="117"/>
      <c r="E35" s="117"/>
      <c r="F35" s="117"/>
      <c r="G35" s="117"/>
      <c r="H35" s="117"/>
      <c r="I35" s="117"/>
      <c r="J35" s="117"/>
      <c r="K35" s="117"/>
      <c r="L35" s="117"/>
      <c r="M35" s="117"/>
      <c r="N35" s="117"/>
      <c r="O35" s="117"/>
    </row>
    <row r="36" spans="2:15" s="74" customFormat="1" ht="12.75">
      <c r="B36" s="117"/>
      <c r="C36" s="117"/>
      <c r="D36" s="117"/>
      <c r="E36" s="117"/>
      <c r="F36" s="117"/>
      <c r="G36" s="117"/>
      <c r="H36" s="117"/>
      <c r="I36" s="117"/>
      <c r="J36" s="117"/>
      <c r="K36" s="117"/>
      <c r="L36" s="117"/>
      <c r="M36" s="117"/>
      <c r="N36" s="117"/>
      <c r="O36" s="117"/>
    </row>
    <row r="37" spans="2:15" s="74" customFormat="1" ht="12.75">
      <c r="B37" s="117"/>
      <c r="C37" s="117"/>
      <c r="D37" s="117"/>
      <c r="E37" s="117"/>
      <c r="F37" s="117"/>
      <c r="G37" s="117"/>
      <c r="H37" s="117"/>
      <c r="I37" s="117"/>
      <c r="J37" s="117"/>
      <c r="K37" s="117"/>
      <c r="L37" s="117"/>
      <c r="M37" s="117"/>
      <c r="N37" s="117"/>
      <c r="O37" s="117"/>
    </row>
    <row r="38" spans="2:15" s="74" customFormat="1" ht="12.75">
      <c r="B38" s="117"/>
      <c r="C38" s="117"/>
      <c r="D38" s="117"/>
      <c r="E38" s="117"/>
      <c r="F38" s="117"/>
      <c r="G38" s="117"/>
      <c r="H38" s="117"/>
      <c r="I38" s="117"/>
      <c r="J38" s="117"/>
      <c r="K38" s="117"/>
      <c r="L38" s="117"/>
      <c r="M38" s="117"/>
      <c r="N38" s="117"/>
      <c r="O38" s="117"/>
    </row>
    <row r="39" spans="2:15" s="74" customFormat="1" ht="12.75">
      <c r="B39" s="117"/>
      <c r="C39" s="117"/>
      <c r="D39" s="117"/>
      <c r="E39" s="117"/>
      <c r="F39" s="117"/>
      <c r="G39" s="117"/>
      <c r="H39" s="117"/>
      <c r="I39" s="117"/>
      <c r="J39" s="117"/>
      <c r="K39" s="117"/>
      <c r="L39" s="117"/>
      <c r="M39" s="117"/>
      <c r="N39" s="117"/>
      <c r="O39" s="117"/>
    </row>
    <row r="40" spans="2:15" s="74" customFormat="1" ht="12.75">
      <c r="B40" s="117"/>
      <c r="C40" s="117"/>
      <c r="D40" s="117"/>
      <c r="E40" s="117"/>
      <c r="F40" s="117"/>
      <c r="G40" s="117"/>
      <c r="H40" s="117"/>
      <c r="I40" s="117"/>
      <c r="J40" s="117"/>
      <c r="K40" s="117"/>
      <c r="L40" s="117"/>
      <c r="M40" s="117"/>
      <c r="N40" s="117"/>
      <c r="O40" s="117"/>
    </row>
    <row r="41" spans="2:15" s="74" customFormat="1" ht="12.75">
      <c r="B41" s="117"/>
      <c r="C41" s="117"/>
      <c r="D41" s="117"/>
      <c r="E41" s="117"/>
      <c r="F41" s="117"/>
      <c r="G41" s="117"/>
      <c r="H41" s="117"/>
      <c r="I41" s="117"/>
      <c r="J41" s="117"/>
      <c r="K41" s="117"/>
      <c r="L41" s="117"/>
      <c r="M41" s="117"/>
      <c r="N41" s="117"/>
      <c r="O41" s="117"/>
    </row>
    <row r="42" spans="2:15" s="74" customFormat="1" ht="12.75">
      <c r="B42" s="117"/>
      <c r="C42" s="117"/>
      <c r="D42" s="117"/>
      <c r="E42" s="117"/>
      <c r="F42" s="117"/>
      <c r="G42" s="117"/>
      <c r="H42" s="117"/>
      <c r="I42" s="117"/>
      <c r="J42" s="117"/>
      <c r="K42" s="117"/>
      <c r="L42" s="117"/>
      <c r="M42" s="117"/>
      <c r="N42" s="117"/>
      <c r="O42" s="117"/>
    </row>
    <row r="43" spans="2:15" s="74" customFormat="1" ht="12.75">
      <c r="B43" s="117"/>
      <c r="C43" s="117"/>
      <c r="D43" s="117"/>
      <c r="E43" s="117"/>
      <c r="F43" s="117"/>
      <c r="G43" s="117"/>
      <c r="H43" s="117"/>
      <c r="I43" s="117"/>
      <c r="J43" s="117"/>
      <c r="K43" s="117"/>
      <c r="L43" s="117"/>
      <c r="M43" s="117"/>
      <c r="N43" s="117"/>
      <c r="O43" s="117"/>
    </row>
    <row r="44" spans="2:15" s="74" customFormat="1" ht="12.75">
      <c r="B44" s="117"/>
      <c r="C44" s="117"/>
      <c r="D44" s="117"/>
      <c r="E44" s="117"/>
      <c r="F44" s="117"/>
      <c r="G44" s="117"/>
      <c r="H44" s="117"/>
      <c r="I44" s="117"/>
      <c r="J44" s="117"/>
      <c r="K44" s="117"/>
      <c r="L44" s="117"/>
      <c r="M44" s="117"/>
      <c r="N44" s="117"/>
      <c r="O44" s="117"/>
    </row>
    <row r="45" spans="2:15" s="74" customFormat="1" ht="12.75">
      <c r="B45" s="117"/>
      <c r="C45" s="117"/>
      <c r="D45" s="117"/>
      <c r="E45" s="117"/>
      <c r="F45" s="117"/>
      <c r="G45" s="117"/>
      <c r="H45" s="117"/>
      <c r="I45" s="117"/>
      <c r="J45" s="117"/>
      <c r="K45" s="117"/>
      <c r="L45" s="117"/>
      <c r="M45" s="117"/>
      <c r="N45" s="117"/>
      <c r="O45" s="117"/>
    </row>
    <row r="46" spans="2:15" s="74" customFormat="1" ht="12.75">
      <c r="B46" s="117"/>
      <c r="C46" s="117"/>
      <c r="D46" s="117"/>
      <c r="E46" s="117"/>
      <c r="F46" s="117"/>
      <c r="G46" s="117"/>
      <c r="H46" s="117"/>
      <c r="I46" s="117"/>
      <c r="J46" s="117"/>
      <c r="K46" s="117"/>
      <c r="L46" s="117"/>
      <c r="M46" s="117"/>
      <c r="N46" s="117"/>
      <c r="O46" s="117"/>
    </row>
    <row r="47" spans="2:15" s="74" customFormat="1" ht="12.75">
      <c r="B47" s="117"/>
      <c r="C47" s="117"/>
      <c r="D47" s="117"/>
      <c r="E47" s="117"/>
      <c r="F47" s="117"/>
      <c r="G47" s="117"/>
      <c r="H47" s="117"/>
      <c r="I47" s="117"/>
      <c r="J47" s="117"/>
      <c r="K47" s="117"/>
      <c r="L47" s="117"/>
      <c r="M47" s="117"/>
      <c r="N47" s="117"/>
      <c r="O47" s="117"/>
    </row>
    <row r="48" spans="2:15" s="74" customFormat="1" ht="12.75">
      <c r="B48" s="117"/>
      <c r="C48" s="117"/>
      <c r="D48" s="117"/>
      <c r="E48" s="117"/>
      <c r="F48" s="117"/>
      <c r="G48" s="117"/>
      <c r="H48" s="117"/>
      <c r="I48" s="117"/>
      <c r="J48" s="117"/>
      <c r="K48" s="117"/>
      <c r="L48" s="117"/>
      <c r="M48" s="117"/>
      <c r="N48" s="117"/>
      <c r="O48" s="117"/>
    </row>
    <row r="49" spans="2:15" s="74" customFormat="1" ht="12.75">
      <c r="B49" s="117"/>
      <c r="C49" s="117"/>
      <c r="D49" s="117"/>
      <c r="E49" s="117"/>
      <c r="F49" s="117"/>
      <c r="G49" s="117"/>
      <c r="H49" s="117"/>
      <c r="I49" s="117"/>
      <c r="J49" s="117"/>
      <c r="K49" s="117"/>
      <c r="L49" s="117"/>
      <c r="M49" s="117"/>
      <c r="N49" s="117"/>
      <c r="O49" s="117"/>
    </row>
    <row r="50" spans="2:15" s="74" customFormat="1" ht="12.75">
      <c r="B50" s="117"/>
      <c r="C50" s="117"/>
      <c r="D50" s="117"/>
      <c r="E50" s="117"/>
      <c r="F50" s="117"/>
      <c r="G50" s="117"/>
      <c r="H50" s="117"/>
      <c r="I50" s="117"/>
      <c r="J50" s="117"/>
      <c r="K50" s="117"/>
      <c r="L50" s="117"/>
      <c r="M50" s="117"/>
      <c r="N50" s="117"/>
      <c r="O50" s="117"/>
    </row>
    <row r="51" spans="2:15" s="74" customFormat="1" ht="12.75">
      <c r="B51" s="117"/>
      <c r="C51" s="117"/>
      <c r="D51" s="117"/>
      <c r="E51" s="117"/>
      <c r="F51" s="117"/>
      <c r="G51" s="117"/>
      <c r="H51" s="117"/>
      <c r="I51" s="117"/>
      <c r="J51" s="117"/>
      <c r="K51" s="117"/>
      <c r="L51" s="117"/>
      <c r="M51" s="117"/>
      <c r="N51" s="117"/>
      <c r="O51" s="117"/>
    </row>
    <row r="52" spans="2:15" s="74" customFormat="1" ht="12.75">
      <c r="B52" s="117"/>
      <c r="C52" s="117"/>
      <c r="D52" s="117"/>
      <c r="E52" s="117"/>
      <c r="F52" s="117"/>
      <c r="G52" s="117"/>
      <c r="H52" s="117"/>
      <c r="I52" s="117"/>
      <c r="J52" s="117"/>
      <c r="K52" s="117"/>
      <c r="L52" s="117"/>
      <c r="M52" s="117"/>
      <c r="N52" s="117"/>
      <c r="O52" s="117"/>
    </row>
    <row r="53" spans="2:15" s="74" customFormat="1" ht="12.75">
      <c r="B53" s="117"/>
      <c r="C53" s="117"/>
      <c r="D53" s="117"/>
      <c r="E53" s="117"/>
      <c r="F53" s="117"/>
      <c r="G53" s="117"/>
      <c r="H53" s="117"/>
      <c r="I53" s="117"/>
      <c r="J53" s="117"/>
      <c r="K53" s="117"/>
      <c r="L53" s="117"/>
      <c r="M53" s="117"/>
      <c r="N53" s="117"/>
      <c r="O53" s="117"/>
    </row>
    <row r="54" spans="2:15" s="74" customFormat="1" ht="12.75">
      <c r="B54" s="117"/>
      <c r="C54" s="117"/>
      <c r="D54" s="117"/>
      <c r="E54" s="117"/>
      <c r="F54" s="117"/>
      <c r="G54" s="117"/>
      <c r="H54" s="117"/>
      <c r="I54" s="117"/>
      <c r="J54" s="117"/>
      <c r="K54" s="117"/>
      <c r="L54" s="117"/>
      <c r="M54" s="117"/>
      <c r="N54" s="117"/>
      <c r="O54" s="117"/>
    </row>
    <row r="55" spans="2:15" s="74" customFormat="1" ht="12.75">
      <c r="B55" s="117"/>
      <c r="C55" s="117"/>
      <c r="D55" s="117"/>
      <c r="E55" s="117"/>
      <c r="F55" s="117"/>
      <c r="G55" s="117"/>
      <c r="H55" s="117"/>
      <c r="I55" s="117"/>
      <c r="J55" s="117"/>
      <c r="K55" s="117"/>
      <c r="L55" s="117"/>
      <c r="M55" s="117"/>
      <c r="N55" s="117"/>
      <c r="O55" s="117"/>
    </row>
  </sheetData>
  <sheetProtection password="DCC8" sheet="1"/>
  <mergeCells count="4">
    <mergeCell ref="C13:D13"/>
    <mergeCell ref="C14:D14"/>
    <mergeCell ref="C17:D17"/>
    <mergeCell ref="C18:D18"/>
  </mergeCells>
  <conditionalFormatting sqref="E27 E20:E25">
    <cfRule type="cellIs" priority="1" dxfId="0" operator="greaterThanOrEqual" stopIfTrue="1">
      <formula>100</formula>
    </cfRule>
    <cfRule type="cellIs" priority="2" dxfId="1" operator="lessThan" stopIfTrue="1">
      <formula>100</formula>
    </cfRule>
  </conditionalFormatting>
  <conditionalFormatting sqref="E26">
    <cfRule type="cellIs" priority="3" dxfId="1" operator="greaterThanOrEqual" stopIfTrue="1">
      <formula>100.01</formula>
    </cfRule>
    <cfRule type="cellIs" priority="4" dxfId="0" operator="lessThan" stopIfTrue="1">
      <formula>100.01</formula>
    </cfRule>
  </conditionalFormatting>
  <dataValidations count="4">
    <dataValidation type="list" allowBlank="1" showInputMessage="1" showErrorMessage="1" promptTitle="Select Material" sqref="C12:D12">
      <formula1>Materials</formula1>
    </dataValidation>
    <dataValidation allowBlank="1" showInputMessage="1" showErrorMessage="1" promptTitle="Select Material" sqref="D4:D5"/>
    <dataValidation type="list" allowBlank="1" showInputMessage="1" showErrorMessage="1" promptTitle="Select Material" sqref="C4">
      <formula1>"Steel, Aluminium 1, Aluminium 2"</formula1>
    </dataValidation>
    <dataValidation type="list" allowBlank="1" showInputMessage="1" showErrorMessage="1" promptTitle="Select Material" sqref="C5">
      <formula1>Tube_Type</formula1>
    </dataValidation>
  </dataValidations>
  <printOptions/>
  <pageMargins left="0.75" right="0.75" top="1" bottom="1" header="0.5" footer="0.5"/>
  <pageSetup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sheetPr codeName="Sheet21"/>
  <dimension ref="A1:AL63"/>
  <sheetViews>
    <sheetView showGridLines="0" view="pageBreakPreview" zoomScaleSheetLayoutView="100" zoomScalePageLayoutView="0" workbookViewId="0" topLeftCell="A1">
      <selection activeCell="A1" sqref="A1:S1"/>
    </sheetView>
  </sheetViews>
  <sheetFormatPr defaultColWidth="9.140625" defaultRowHeight="12.75"/>
  <cols>
    <col min="1" max="38" width="5.00390625" style="0" customWidth="1"/>
  </cols>
  <sheetData>
    <row r="1" spans="1:38" ht="12.75">
      <c r="A1" s="214" t="s">
        <v>204</v>
      </c>
      <c r="B1" s="214"/>
      <c r="C1" s="214"/>
      <c r="D1" s="214"/>
      <c r="E1" s="214"/>
      <c r="F1" s="214"/>
      <c r="G1" s="214"/>
      <c r="H1" s="214"/>
      <c r="I1" s="214"/>
      <c r="J1" s="214"/>
      <c r="K1" s="214"/>
      <c r="L1" s="214"/>
      <c r="M1" s="214"/>
      <c r="N1" s="214"/>
      <c r="O1" s="214"/>
      <c r="P1" s="214"/>
      <c r="Q1" s="214"/>
      <c r="R1" s="214"/>
      <c r="S1" s="214"/>
      <c r="T1" s="34"/>
      <c r="U1" s="35"/>
      <c r="V1" s="35"/>
      <c r="W1" s="35"/>
      <c r="X1" s="35"/>
      <c r="Y1" s="35"/>
      <c r="Z1" s="35"/>
      <c r="AA1" s="35"/>
      <c r="AB1" s="35"/>
      <c r="AC1" s="35"/>
      <c r="AD1" s="35"/>
      <c r="AE1" s="35"/>
      <c r="AF1" s="35"/>
      <c r="AG1" s="35"/>
      <c r="AH1" s="35"/>
      <c r="AI1" s="35"/>
      <c r="AJ1" s="35"/>
      <c r="AK1" s="35"/>
      <c r="AL1" s="36"/>
    </row>
    <row r="2" spans="20:38" ht="12.75">
      <c r="T2" s="37"/>
      <c r="U2" s="38"/>
      <c r="V2" s="38"/>
      <c r="W2" s="38"/>
      <c r="X2" s="38"/>
      <c r="Y2" s="38"/>
      <c r="Z2" s="38"/>
      <c r="AA2" s="38"/>
      <c r="AB2" s="38"/>
      <c r="AC2" s="38"/>
      <c r="AD2" s="38"/>
      <c r="AE2" s="38"/>
      <c r="AF2" s="38"/>
      <c r="AG2" s="38"/>
      <c r="AH2" s="38"/>
      <c r="AI2" s="38"/>
      <c r="AJ2" s="38"/>
      <c r="AK2" s="38"/>
      <c r="AL2" s="39"/>
    </row>
    <row r="3" spans="1:38" ht="12.75">
      <c r="A3" s="11" t="s">
        <v>203</v>
      </c>
      <c r="D3" s="263">
        <f>IF('Cover Sheet'!D14:J14&gt;0,'Cover Sheet'!D14:J14,"")</f>
      </c>
      <c r="E3" s="263"/>
      <c r="F3" s="263"/>
      <c r="G3" s="263"/>
      <c r="H3" s="263"/>
      <c r="I3" s="263"/>
      <c r="J3" s="263"/>
      <c r="K3" s="11" t="s">
        <v>202</v>
      </c>
      <c r="O3" s="263">
        <f>IF('Cover Sheet'!O14:S14&gt;0,'Cover Sheet'!O14:S14,"")</f>
      </c>
      <c r="P3" s="263"/>
      <c r="Q3" s="263"/>
      <c r="R3" s="263"/>
      <c r="S3" s="263"/>
      <c r="T3" s="37"/>
      <c r="U3" s="38"/>
      <c r="V3" s="38"/>
      <c r="W3" s="38"/>
      <c r="X3" s="38"/>
      <c r="Y3" s="38"/>
      <c r="Z3" s="38"/>
      <c r="AA3" s="38"/>
      <c r="AB3" s="38"/>
      <c r="AC3" s="38"/>
      <c r="AD3" s="38"/>
      <c r="AE3" s="38"/>
      <c r="AF3" s="38"/>
      <c r="AG3" s="38"/>
      <c r="AH3" s="38"/>
      <c r="AI3" s="38"/>
      <c r="AJ3" s="38"/>
      <c r="AK3" s="38"/>
      <c r="AL3" s="39"/>
    </row>
    <row r="4" spans="20:38" ht="12.75">
      <c r="T4" s="37"/>
      <c r="U4" s="38"/>
      <c r="V4" s="38"/>
      <c r="W4" s="38"/>
      <c r="X4" s="38"/>
      <c r="Y4" s="38"/>
      <c r="Z4" s="38"/>
      <c r="AA4" s="38"/>
      <c r="AB4" s="38"/>
      <c r="AC4" s="38"/>
      <c r="AD4" s="38"/>
      <c r="AE4" s="38"/>
      <c r="AF4" s="38"/>
      <c r="AG4" s="38"/>
      <c r="AH4" s="38"/>
      <c r="AI4" s="38"/>
      <c r="AJ4" s="38"/>
      <c r="AK4" s="38"/>
      <c r="AL4" s="39"/>
    </row>
    <row r="5" spans="1:38" ht="12.75" customHeight="1">
      <c r="A5" s="257" t="s">
        <v>117</v>
      </c>
      <c r="B5" s="258"/>
      <c r="C5" s="258"/>
      <c r="D5" s="258"/>
      <c r="E5" s="258"/>
      <c r="F5" s="258"/>
      <c r="G5" s="258"/>
      <c r="H5" s="258"/>
      <c r="I5" s="258"/>
      <c r="J5" s="258"/>
      <c r="K5" s="258"/>
      <c r="L5" s="258"/>
      <c r="M5" s="258"/>
      <c r="N5" s="258"/>
      <c r="O5" s="258"/>
      <c r="P5" s="258"/>
      <c r="Q5" s="258"/>
      <c r="R5" s="258"/>
      <c r="S5" s="258"/>
      <c r="T5" s="37"/>
      <c r="U5" s="38"/>
      <c r="V5" s="38"/>
      <c r="W5" s="38"/>
      <c r="X5" s="38"/>
      <c r="Y5" s="38"/>
      <c r="Z5" s="38"/>
      <c r="AA5" s="38"/>
      <c r="AB5" s="38"/>
      <c r="AC5" s="38"/>
      <c r="AD5" s="38"/>
      <c r="AE5" s="38"/>
      <c r="AF5" s="38"/>
      <c r="AG5" s="38"/>
      <c r="AH5" s="38"/>
      <c r="AI5" s="38"/>
      <c r="AJ5" s="38"/>
      <c r="AK5" s="38"/>
      <c r="AL5" s="39"/>
    </row>
    <row r="6" spans="1:38" ht="12.75">
      <c r="A6" s="259"/>
      <c r="B6" s="260"/>
      <c r="C6" s="260"/>
      <c r="D6" s="260"/>
      <c r="E6" s="260"/>
      <c r="F6" s="260"/>
      <c r="G6" s="260"/>
      <c r="H6" s="260"/>
      <c r="I6" s="260"/>
      <c r="J6" s="260"/>
      <c r="K6" s="260"/>
      <c r="L6" s="260"/>
      <c r="M6" s="260"/>
      <c r="N6" s="260"/>
      <c r="O6" s="260"/>
      <c r="P6" s="260"/>
      <c r="Q6" s="260"/>
      <c r="R6" s="260"/>
      <c r="S6" s="260"/>
      <c r="T6" s="37"/>
      <c r="U6" s="38"/>
      <c r="V6" s="38"/>
      <c r="W6" s="38"/>
      <c r="X6" s="38"/>
      <c r="Y6" s="38"/>
      <c r="Z6" s="38"/>
      <c r="AA6" s="38"/>
      <c r="AB6" s="38"/>
      <c r="AC6" s="38"/>
      <c r="AD6" s="38"/>
      <c r="AE6" s="38"/>
      <c r="AF6" s="38"/>
      <c r="AG6" s="38"/>
      <c r="AH6" s="38"/>
      <c r="AI6" s="38"/>
      <c r="AJ6" s="38"/>
      <c r="AK6" s="38"/>
      <c r="AL6" s="39"/>
    </row>
    <row r="7" spans="1:38" ht="12.75">
      <c r="A7" s="102"/>
      <c r="B7" s="103"/>
      <c r="C7" s="103"/>
      <c r="D7" s="103"/>
      <c r="E7" s="103"/>
      <c r="F7" s="103"/>
      <c r="G7" s="103"/>
      <c r="H7" s="103"/>
      <c r="I7" s="103"/>
      <c r="J7" s="103"/>
      <c r="K7" s="103"/>
      <c r="L7" s="103"/>
      <c r="M7" s="103"/>
      <c r="N7" s="103"/>
      <c r="O7" s="103"/>
      <c r="P7" s="103"/>
      <c r="Q7" s="103"/>
      <c r="R7" s="103"/>
      <c r="S7" s="104"/>
      <c r="T7" s="37"/>
      <c r="U7" s="38"/>
      <c r="V7" s="38"/>
      <c r="W7" s="38"/>
      <c r="X7" s="38"/>
      <c r="Y7" s="38"/>
      <c r="Z7" s="38"/>
      <c r="AA7" s="38"/>
      <c r="AB7" s="38"/>
      <c r="AC7" s="38"/>
      <c r="AD7" s="38"/>
      <c r="AE7" s="38"/>
      <c r="AF7" s="38"/>
      <c r="AG7" s="38"/>
      <c r="AH7" s="38"/>
      <c r="AI7" s="38"/>
      <c r="AJ7" s="38"/>
      <c r="AK7" s="38"/>
      <c r="AL7" s="39"/>
    </row>
    <row r="8" spans="1:38" ht="12.75">
      <c r="A8" s="105"/>
      <c r="B8" s="106"/>
      <c r="C8" s="106"/>
      <c r="D8" s="106"/>
      <c r="E8" s="106"/>
      <c r="F8" s="106"/>
      <c r="G8" s="106"/>
      <c r="H8" s="106"/>
      <c r="I8" s="106"/>
      <c r="J8" s="106"/>
      <c r="K8" s="106"/>
      <c r="L8" s="106"/>
      <c r="M8" s="106"/>
      <c r="N8" s="106"/>
      <c r="O8" s="106"/>
      <c r="P8" s="106"/>
      <c r="Q8" s="106"/>
      <c r="R8" s="106"/>
      <c r="S8" s="107"/>
      <c r="T8" s="37"/>
      <c r="U8" s="38"/>
      <c r="V8" s="38"/>
      <c r="W8" s="38"/>
      <c r="X8" s="38"/>
      <c r="Y8" s="38"/>
      <c r="Z8" s="38"/>
      <c r="AA8" s="38"/>
      <c r="AB8" s="38"/>
      <c r="AC8" s="38"/>
      <c r="AD8" s="38"/>
      <c r="AE8" s="38"/>
      <c r="AF8" s="38"/>
      <c r="AG8" s="38"/>
      <c r="AH8" s="38"/>
      <c r="AI8" s="38"/>
      <c r="AJ8" s="38"/>
      <c r="AK8" s="38"/>
      <c r="AL8" s="39"/>
    </row>
    <row r="9" spans="1:38" ht="12.75">
      <c r="A9" s="105"/>
      <c r="B9" s="106"/>
      <c r="C9" s="106"/>
      <c r="D9" s="106"/>
      <c r="E9" s="106"/>
      <c r="F9" s="106"/>
      <c r="G9" s="106"/>
      <c r="H9" s="106"/>
      <c r="I9" s="106"/>
      <c r="J9" s="106"/>
      <c r="K9" s="106"/>
      <c r="L9" s="106"/>
      <c r="M9" s="106"/>
      <c r="N9" s="106"/>
      <c r="O9" s="106"/>
      <c r="P9" s="106"/>
      <c r="Q9" s="106"/>
      <c r="R9" s="106"/>
      <c r="S9" s="107"/>
      <c r="T9" s="37"/>
      <c r="U9" s="38"/>
      <c r="V9" s="38"/>
      <c r="W9" s="38"/>
      <c r="X9" s="38"/>
      <c r="Y9" s="38"/>
      <c r="Z9" s="38"/>
      <c r="AA9" s="38"/>
      <c r="AB9" s="38"/>
      <c r="AC9" s="38"/>
      <c r="AD9" s="38"/>
      <c r="AE9" s="38"/>
      <c r="AF9" s="38"/>
      <c r="AG9" s="38"/>
      <c r="AH9" s="38"/>
      <c r="AI9" s="38"/>
      <c r="AJ9" s="38"/>
      <c r="AK9" s="38"/>
      <c r="AL9" s="39"/>
    </row>
    <row r="10" spans="1:38" ht="12.75">
      <c r="A10" s="105"/>
      <c r="B10" s="106"/>
      <c r="C10" s="106"/>
      <c r="D10" s="106"/>
      <c r="E10" s="106"/>
      <c r="F10" s="106"/>
      <c r="G10" s="106"/>
      <c r="H10" s="106"/>
      <c r="I10" s="106"/>
      <c r="J10" s="106"/>
      <c r="K10" s="106"/>
      <c r="L10" s="106"/>
      <c r="M10" s="106"/>
      <c r="N10" s="106"/>
      <c r="O10" s="106"/>
      <c r="P10" s="106"/>
      <c r="Q10" s="106"/>
      <c r="R10" s="106"/>
      <c r="S10" s="107"/>
      <c r="T10" s="37"/>
      <c r="U10" s="38"/>
      <c r="V10" s="38"/>
      <c r="W10" s="38"/>
      <c r="X10" s="38"/>
      <c r="Y10" s="38"/>
      <c r="Z10" s="38"/>
      <c r="AA10" s="38"/>
      <c r="AB10" s="38"/>
      <c r="AC10" s="38"/>
      <c r="AD10" s="38"/>
      <c r="AE10" s="38"/>
      <c r="AF10" s="38"/>
      <c r="AG10" s="38"/>
      <c r="AH10" s="38"/>
      <c r="AI10" s="38"/>
      <c r="AJ10" s="38"/>
      <c r="AK10" s="38"/>
      <c r="AL10" s="39"/>
    </row>
    <row r="11" spans="1:38" ht="12.75">
      <c r="A11" s="105"/>
      <c r="B11" s="106"/>
      <c r="C11" s="106"/>
      <c r="D11" s="106"/>
      <c r="E11" s="106"/>
      <c r="F11" s="106"/>
      <c r="G11" s="106"/>
      <c r="H11" s="106"/>
      <c r="I11" s="106"/>
      <c r="J11" s="106"/>
      <c r="K11" s="106"/>
      <c r="L11" s="106"/>
      <c r="M11" s="106"/>
      <c r="N11" s="106"/>
      <c r="O11" s="106"/>
      <c r="P11" s="106"/>
      <c r="Q11" s="106"/>
      <c r="R11" s="106"/>
      <c r="S11" s="107"/>
      <c r="T11" s="37"/>
      <c r="U11" s="38"/>
      <c r="V11" s="38"/>
      <c r="W11" s="38"/>
      <c r="X11" s="38"/>
      <c r="Y11" s="38"/>
      <c r="Z11" s="38"/>
      <c r="AA11" s="38"/>
      <c r="AB11" s="38"/>
      <c r="AC11" s="38"/>
      <c r="AD11" s="38"/>
      <c r="AE11" s="38"/>
      <c r="AF11" s="38"/>
      <c r="AG11" s="38"/>
      <c r="AH11" s="38"/>
      <c r="AI11" s="38"/>
      <c r="AJ11" s="38"/>
      <c r="AK11" s="38"/>
      <c r="AL11" s="39"/>
    </row>
    <row r="12" spans="1:38" ht="12.75">
      <c r="A12" s="105"/>
      <c r="B12" s="106"/>
      <c r="C12" s="106"/>
      <c r="D12" s="106"/>
      <c r="E12" s="106"/>
      <c r="F12" s="106"/>
      <c r="G12" s="106"/>
      <c r="H12" s="106"/>
      <c r="I12" s="106"/>
      <c r="J12" s="106"/>
      <c r="K12" s="106"/>
      <c r="L12" s="106"/>
      <c r="M12" s="106"/>
      <c r="N12" s="106"/>
      <c r="O12" s="106"/>
      <c r="P12" s="106"/>
      <c r="Q12" s="106"/>
      <c r="R12" s="106"/>
      <c r="S12" s="107"/>
      <c r="T12" s="37"/>
      <c r="U12" s="38"/>
      <c r="V12" s="38"/>
      <c r="W12" s="38"/>
      <c r="X12" s="38"/>
      <c r="Y12" s="38"/>
      <c r="Z12" s="38"/>
      <c r="AA12" s="38"/>
      <c r="AB12" s="38"/>
      <c r="AC12" s="38"/>
      <c r="AD12" s="38"/>
      <c r="AE12" s="38"/>
      <c r="AF12" s="38"/>
      <c r="AG12" s="38"/>
      <c r="AH12" s="38"/>
      <c r="AI12" s="38"/>
      <c r="AJ12" s="38"/>
      <c r="AK12" s="38"/>
      <c r="AL12" s="39"/>
    </row>
    <row r="13" spans="1:38" ht="12.75">
      <c r="A13" s="105"/>
      <c r="B13" s="106"/>
      <c r="C13" s="106"/>
      <c r="D13" s="106"/>
      <c r="E13" s="106"/>
      <c r="F13" s="106"/>
      <c r="G13" s="106"/>
      <c r="H13" s="106"/>
      <c r="I13" s="106"/>
      <c r="J13" s="106"/>
      <c r="K13" s="106"/>
      <c r="L13" s="106"/>
      <c r="M13" s="106"/>
      <c r="N13" s="106"/>
      <c r="O13" s="106"/>
      <c r="P13" s="106"/>
      <c r="Q13" s="106"/>
      <c r="R13" s="106"/>
      <c r="S13" s="107"/>
      <c r="T13" s="37"/>
      <c r="U13" s="38"/>
      <c r="V13" s="38"/>
      <c r="W13" s="38"/>
      <c r="X13" s="38"/>
      <c r="Y13" s="38"/>
      <c r="Z13" s="38"/>
      <c r="AA13" s="38"/>
      <c r="AB13" s="38"/>
      <c r="AC13" s="38"/>
      <c r="AD13" s="38"/>
      <c r="AE13" s="38"/>
      <c r="AF13" s="38"/>
      <c r="AG13" s="38"/>
      <c r="AH13" s="38"/>
      <c r="AI13" s="38"/>
      <c r="AJ13" s="38"/>
      <c r="AK13" s="38"/>
      <c r="AL13" s="39"/>
    </row>
    <row r="14" spans="1:38" ht="12.75">
      <c r="A14" s="105"/>
      <c r="B14" s="106"/>
      <c r="C14" s="106"/>
      <c r="D14" s="106"/>
      <c r="E14" s="106"/>
      <c r="F14" s="106"/>
      <c r="G14" s="106"/>
      <c r="H14" s="106"/>
      <c r="I14" s="106"/>
      <c r="J14" s="106"/>
      <c r="K14" s="106"/>
      <c r="L14" s="116"/>
      <c r="M14" s="106"/>
      <c r="N14" s="106"/>
      <c r="O14" s="106"/>
      <c r="P14" s="106"/>
      <c r="Q14" s="106"/>
      <c r="R14" s="106"/>
      <c r="S14" s="107"/>
      <c r="T14" s="37"/>
      <c r="U14" s="38"/>
      <c r="V14" s="38"/>
      <c r="W14" s="38"/>
      <c r="X14" s="38"/>
      <c r="Y14" s="38"/>
      <c r="Z14" s="38"/>
      <c r="AA14" s="38"/>
      <c r="AB14" s="38"/>
      <c r="AC14" s="38"/>
      <c r="AD14" s="38"/>
      <c r="AE14" s="38"/>
      <c r="AF14" s="38"/>
      <c r="AG14" s="38"/>
      <c r="AH14" s="38"/>
      <c r="AI14" s="38"/>
      <c r="AJ14" s="38"/>
      <c r="AK14" s="38"/>
      <c r="AL14" s="39"/>
    </row>
    <row r="15" spans="1:38" ht="12.75">
      <c r="A15" s="105"/>
      <c r="B15" s="106"/>
      <c r="C15" s="106"/>
      <c r="D15" s="106"/>
      <c r="E15" s="106"/>
      <c r="F15" s="106"/>
      <c r="G15" s="106"/>
      <c r="H15" s="106"/>
      <c r="I15" s="106"/>
      <c r="J15" s="106"/>
      <c r="K15" s="106"/>
      <c r="L15" s="106"/>
      <c r="M15" s="106"/>
      <c r="N15" s="106"/>
      <c r="O15" s="106"/>
      <c r="P15" s="106"/>
      <c r="Q15" s="106"/>
      <c r="R15" s="106"/>
      <c r="S15" s="107"/>
      <c r="T15" s="37"/>
      <c r="U15" s="38"/>
      <c r="V15" s="38"/>
      <c r="W15" s="38"/>
      <c r="X15" s="38"/>
      <c r="Y15" s="38"/>
      <c r="Z15" s="38"/>
      <c r="AA15" s="38"/>
      <c r="AB15" s="38"/>
      <c r="AC15" s="38"/>
      <c r="AD15" s="38"/>
      <c r="AE15" s="38"/>
      <c r="AF15" s="38"/>
      <c r="AG15" s="38"/>
      <c r="AH15" s="38"/>
      <c r="AI15" s="38"/>
      <c r="AJ15" s="38"/>
      <c r="AK15" s="38"/>
      <c r="AL15" s="39"/>
    </row>
    <row r="16" spans="1:38" ht="12.75">
      <c r="A16" s="105"/>
      <c r="B16" s="106"/>
      <c r="C16" s="106"/>
      <c r="D16" s="106"/>
      <c r="E16" s="106"/>
      <c r="F16" s="106"/>
      <c r="G16" s="106"/>
      <c r="H16" s="106"/>
      <c r="I16" s="106"/>
      <c r="J16" s="106"/>
      <c r="K16" s="106"/>
      <c r="L16" s="106"/>
      <c r="M16" s="106"/>
      <c r="N16" s="106"/>
      <c r="O16" s="106"/>
      <c r="P16" s="106"/>
      <c r="Q16" s="106"/>
      <c r="R16" s="106"/>
      <c r="S16" s="107"/>
      <c r="T16" s="37"/>
      <c r="U16" s="38"/>
      <c r="V16" s="38"/>
      <c r="W16" s="38"/>
      <c r="X16" s="38"/>
      <c r="Y16" s="38"/>
      <c r="Z16" s="38"/>
      <c r="AA16" s="38"/>
      <c r="AB16" s="38"/>
      <c r="AC16" s="38"/>
      <c r="AD16" s="38"/>
      <c r="AE16" s="38"/>
      <c r="AF16" s="38"/>
      <c r="AG16" s="38"/>
      <c r="AH16" s="38"/>
      <c r="AI16" s="38"/>
      <c r="AJ16" s="38"/>
      <c r="AK16" s="38"/>
      <c r="AL16" s="39"/>
    </row>
    <row r="17" spans="1:38" ht="12.75">
      <c r="A17" s="105"/>
      <c r="B17" s="106"/>
      <c r="C17" s="106"/>
      <c r="D17" s="106"/>
      <c r="E17" s="106"/>
      <c r="F17" s="106"/>
      <c r="G17" s="106"/>
      <c r="H17" s="106"/>
      <c r="I17" s="106"/>
      <c r="J17" s="106"/>
      <c r="K17" s="106"/>
      <c r="L17" s="106"/>
      <c r="M17" s="106"/>
      <c r="N17" s="106"/>
      <c r="O17" s="106"/>
      <c r="P17" s="106"/>
      <c r="Q17" s="106"/>
      <c r="R17" s="106"/>
      <c r="S17" s="107"/>
      <c r="T17" s="37"/>
      <c r="U17" s="38"/>
      <c r="V17" s="38"/>
      <c r="W17" s="38"/>
      <c r="X17" s="38"/>
      <c r="Y17" s="38"/>
      <c r="Z17" s="38"/>
      <c r="AA17" s="38"/>
      <c r="AB17" s="38"/>
      <c r="AC17" s="38"/>
      <c r="AD17" s="38"/>
      <c r="AE17" s="38"/>
      <c r="AF17" s="38"/>
      <c r="AG17" s="38"/>
      <c r="AH17" s="38"/>
      <c r="AI17" s="38"/>
      <c r="AJ17" s="38"/>
      <c r="AK17" s="38"/>
      <c r="AL17" s="39"/>
    </row>
    <row r="18" spans="1:38" ht="12.75">
      <c r="A18" s="105"/>
      <c r="B18" s="106"/>
      <c r="C18" s="106"/>
      <c r="D18" s="106"/>
      <c r="E18" s="106"/>
      <c r="F18" s="106"/>
      <c r="G18" s="106"/>
      <c r="H18" s="106"/>
      <c r="I18" s="106"/>
      <c r="J18" s="106"/>
      <c r="K18" s="106"/>
      <c r="L18" s="106"/>
      <c r="M18" s="106"/>
      <c r="N18" s="106"/>
      <c r="O18" s="106"/>
      <c r="P18" s="106"/>
      <c r="Q18" s="106"/>
      <c r="R18" s="106"/>
      <c r="S18" s="107"/>
      <c r="T18" s="37"/>
      <c r="U18" s="38"/>
      <c r="V18" s="38"/>
      <c r="W18" s="38"/>
      <c r="X18" s="38"/>
      <c r="Y18" s="38"/>
      <c r="Z18" s="38"/>
      <c r="AA18" s="38"/>
      <c r="AB18" s="38"/>
      <c r="AC18" s="38"/>
      <c r="AD18" s="38"/>
      <c r="AE18" s="38"/>
      <c r="AF18" s="38"/>
      <c r="AG18" s="38"/>
      <c r="AH18" s="38"/>
      <c r="AI18" s="38"/>
      <c r="AJ18" s="38"/>
      <c r="AK18" s="38"/>
      <c r="AL18" s="39"/>
    </row>
    <row r="19" spans="1:38" ht="12.75">
      <c r="A19" s="105"/>
      <c r="B19" s="106"/>
      <c r="C19" s="106"/>
      <c r="D19" s="106"/>
      <c r="E19" s="106"/>
      <c r="F19" s="106"/>
      <c r="G19" s="106"/>
      <c r="H19" s="106"/>
      <c r="I19" s="106"/>
      <c r="J19" s="106"/>
      <c r="K19" s="106"/>
      <c r="L19" s="106"/>
      <c r="M19" s="106"/>
      <c r="N19" s="106"/>
      <c r="O19" s="106"/>
      <c r="P19" s="106"/>
      <c r="Q19" s="106"/>
      <c r="R19" s="106"/>
      <c r="S19" s="107"/>
      <c r="T19" s="37"/>
      <c r="U19" s="38"/>
      <c r="V19" s="38"/>
      <c r="W19" s="38"/>
      <c r="X19" s="38"/>
      <c r="Y19" s="38"/>
      <c r="Z19" s="38"/>
      <c r="AA19" s="38"/>
      <c r="AB19" s="38"/>
      <c r="AC19" s="38"/>
      <c r="AD19" s="38"/>
      <c r="AE19" s="38"/>
      <c r="AF19" s="38"/>
      <c r="AG19" s="38"/>
      <c r="AH19" s="38"/>
      <c r="AI19" s="38"/>
      <c r="AJ19" s="38"/>
      <c r="AK19" s="38"/>
      <c r="AL19" s="39"/>
    </row>
    <row r="20" spans="1:38" ht="12.75">
      <c r="A20" s="105"/>
      <c r="B20" s="106"/>
      <c r="C20" s="106"/>
      <c r="D20" s="106"/>
      <c r="E20" s="106"/>
      <c r="F20" s="106"/>
      <c r="G20" s="106"/>
      <c r="H20" s="106"/>
      <c r="I20" s="106"/>
      <c r="J20" s="106"/>
      <c r="K20" s="106"/>
      <c r="L20" s="106"/>
      <c r="M20" s="106"/>
      <c r="N20" s="106"/>
      <c r="O20" s="106"/>
      <c r="P20" s="106"/>
      <c r="Q20" s="106"/>
      <c r="R20" s="106"/>
      <c r="S20" s="107"/>
      <c r="T20" s="37"/>
      <c r="U20" s="38"/>
      <c r="V20" s="38"/>
      <c r="W20" s="38"/>
      <c r="X20" s="38"/>
      <c r="Y20" s="38"/>
      <c r="Z20" s="38"/>
      <c r="AA20" s="38"/>
      <c r="AB20" s="38"/>
      <c r="AC20" s="38"/>
      <c r="AD20" s="38"/>
      <c r="AE20" s="38"/>
      <c r="AF20" s="38"/>
      <c r="AG20" s="38"/>
      <c r="AH20" s="38"/>
      <c r="AI20" s="38"/>
      <c r="AJ20" s="38"/>
      <c r="AK20" s="38"/>
      <c r="AL20" s="39"/>
    </row>
    <row r="21" spans="1:38" ht="12.75">
      <c r="A21" s="105"/>
      <c r="B21" s="106"/>
      <c r="C21" s="106"/>
      <c r="D21" s="106"/>
      <c r="E21" s="106"/>
      <c r="F21" s="106"/>
      <c r="G21" s="106"/>
      <c r="H21" s="106"/>
      <c r="I21" s="106"/>
      <c r="J21" s="106"/>
      <c r="K21" s="106"/>
      <c r="L21" s="106"/>
      <c r="M21" s="106"/>
      <c r="N21" s="106"/>
      <c r="O21" s="106"/>
      <c r="P21" s="106"/>
      <c r="Q21" s="106"/>
      <c r="R21" s="106"/>
      <c r="S21" s="107"/>
      <c r="T21" s="37"/>
      <c r="U21" s="38"/>
      <c r="V21" s="38"/>
      <c r="W21" s="38"/>
      <c r="X21" s="38"/>
      <c r="Y21" s="38"/>
      <c r="Z21" s="38"/>
      <c r="AA21" s="38"/>
      <c r="AB21" s="38"/>
      <c r="AC21" s="38"/>
      <c r="AD21" s="38"/>
      <c r="AE21" s="38"/>
      <c r="AF21" s="38"/>
      <c r="AG21" s="38"/>
      <c r="AH21" s="38"/>
      <c r="AI21" s="38"/>
      <c r="AJ21" s="38"/>
      <c r="AK21" s="38"/>
      <c r="AL21" s="39"/>
    </row>
    <row r="22" spans="1:38" ht="12.75">
      <c r="A22" s="105"/>
      <c r="B22" s="106"/>
      <c r="C22" s="106"/>
      <c r="D22" s="106"/>
      <c r="E22" s="106"/>
      <c r="F22" s="106"/>
      <c r="G22" s="106"/>
      <c r="H22" s="106"/>
      <c r="I22" s="106"/>
      <c r="J22" s="106"/>
      <c r="K22" s="106"/>
      <c r="L22" s="106"/>
      <c r="M22" s="106"/>
      <c r="N22" s="106"/>
      <c r="O22" s="106"/>
      <c r="P22" s="106"/>
      <c r="Q22" s="106"/>
      <c r="R22" s="106"/>
      <c r="S22" s="107"/>
      <c r="T22" s="37"/>
      <c r="U22" s="38"/>
      <c r="V22" s="38"/>
      <c r="W22" s="38"/>
      <c r="X22" s="38"/>
      <c r="Y22" s="38"/>
      <c r="Z22" s="38"/>
      <c r="AA22" s="38"/>
      <c r="AB22" s="38"/>
      <c r="AC22" s="38"/>
      <c r="AD22" s="38"/>
      <c r="AE22" s="38"/>
      <c r="AF22" s="38"/>
      <c r="AG22" s="38"/>
      <c r="AH22" s="38"/>
      <c r="AI22" s="38"/>
      <c r="AJ22" s="38"/>
      <c r="AK22" s="38"/>
      <c r="AL22" s="39"/>
    </row>
    <row r="23" spans="1:38" ht="12.75">
      <c r="A23" s="105"/>
      <c r="B23" s="106"/>
      <c r="C23" s="106"/>
      <c r="D23" s="106"/>
      <c r="E23" s="106"/>
      <c r="F23" s="106"/>
      <c r="G23" s="106"/>
      <c r="H23" s="106"/>
      <c r="I23" s="106"/>
      <c r="J23" s="106"/>
      <c r="K23" s="106"/>
      <c r="L23" s="106"/>
      <c r="M23" s="106"/>
      <c r="N23" s="106"/>
      <c r="O23" s="106"/>
      <c r="P23" s="106"/>
      <c r="Q23" s="106"/>
      <c r="R23" s="106"/>
      <c r="S23" s="107"/>
      <c r="T23" s="37"/>
      <c r="U23" s="38"/>
      <c r="V23" s="38"/>
      <c r="W23" s="38"/>
      <c r="X23" s="38"/>
      <c r="Y23" s="38"/>
      <c r="Z23" s="38"/>
      <c r="AA23" s="38"/>
      <c r="AB23" s="38"/>
      <c r="AC23" s="38"/>
      <c r="AD23" s="38"/>
      <c r="AE23" s="38"/>
      <c r="AF23" s="38"/>
      <c r="AG23" s="38"/>
      <c r="AH23" s="38"/>
      <c r="AI23" s="38"/>
      <c r="AJ23" s="38"/>
      <c r="AK23" s="38"/>
      <c r="AL23" s="39"/>
    </row>
    <row r="24" spans="1:38" ht="12.75">
      <c r="A24" s="105"/>
      <c r="B24" s="106"/>
      <c r="C24" s="106"/>
      <c r="D24" s="106"/>
      <c r="E24" s="106"/>
      <c r="F24" s="106"/>
      <c r="G24" s="106"/>
      <c r="H24" s="106"/>
      <c r="I24" s="106"/>
      <c r="J24" s="106"/>
      <c r="K24" s="106"/>
      <c r="L24" s="106"/>
      <c r="M24" s="106"/>
      <c r="N24" s="106"/>
      <c r="O24" s="106"/>
      <c r="P24" s="106"/>
      <c r="Q24" s="106"/>
      <c r="R24" s="106"/>
      <c r="S24" s="107"/>
      <c r="T24" s="37"/>
      <c r="U24" s="38"/>
      <c r="V24" s="38"/>
      <c r="W24" s="38"/>
      <c r="X24" s="38"/>
      <c r="Y24" s="38"/>
      <c r="Z24" s="38"/>
      <c r="AA24" s="38"/>
      <c r="AB24" s="38"/>
      <c r="AC24" s="38"/>
      <c r="AD24" s="38"/>
      <c r="AE24" s="38"/>
      <c r="AF24" s="38"/>
      <c r="AG24" s="38"/>
      <c r="AH24" s="38"/>
      <c r="AI24" s="38"/>
      <c r="AJ24" s="38"/>
      <c r="AK24" s="38"/>
      <c r="AL24" s="39"/>
    </row>
    <row r="25" spans="1:38" ht="12.75">
      <c r="A25" s="105"/>
      <c r="B25" s="106"/>
      <c r="C25" s="106"/>
      <c r="D25" s="106"/>
      <c r="E25" s="106"/>
      <c r="F25" s="106"/>
      <c r="G25" s="106"/>
      <c r="H25" s="106"/>
      <c r="I25" s="106"/>
      <c r="J25" s="106"/>
      <c r="K25" s="106"/>
      <c r="L25" s="106"/>
      <c r="M25" s="106"/>
      <c r="N25" s="106"/>
      <c r="O25" s="106"/>
      <c r="P25" s="106"/>
      <c r="Q25" s="106"/>
      <c r="R25" s="106"/>
      <c r="S25" s="107"/>
      <c r="T25" s="37"/>
      <c r="U25" s="38"/>
      <c r="V25" s="38"/>
      <c r="W25" s="38"/>
      <c r="X25" s="38"/>
      <c r="Y25" s="38"/>
      <c r="Z25" s="38"/>
      <c r="AA25" s="38"/>
      <c r="AB25" s="38"/>
      <c r="AC25" s="38"/>
      <c r="AD25" s="38"/>
      <c r="AE25" s="38"/>
      <c r="AF25" s="38"/>
      <c r="AG25" s="38"/>
      <c r="AH25" s="38"/>
      <c r="AI25" s="38"/>
      <c r="AJ25" s="38"/>
      <c r="AK25" s="38"/>
      <c r="AL25" s="39"/>
    </row>
    <row r="26" spans="1:38" ht="12.75">
      <c r="A26" s="105"/>
      <c r="B26" s="106"/>
      <c r="C26" s="106"/>
      <c r="D26" s="106"/>
      <c r="E26" s="106"/>
      <c r="F26" s="106"/>
      <c r="G26" s="106"/>
      <c r="H26" s="106"/>
      <c r="I26" s="106"/>
      <c r="J26" s="106"/>
      <c r="K26" s="106"/>
      <c r="L26" s="106"/>
      <c r="M26" s="106"/>
      <c r="N26" s="106"/>
      <c r="O26" s="106"/>
      <c r="P26" s="106"/>
      <c r="Q26" s="106"/>
      <c r="R26" s="106"/>
      <c r="S26" s="107"/>
      <c r="T26" s="37"/>
      <c r="U26" s="38"/>
      <c r="V26" s="38"/>
      <c r="W26" s="38"/>
      <c r="X26" s="38"/>
      <c r="Y26" s="38"/>
      <c r="Z26" s="38"/>
      <c r="AA26" s="38"/>
      <c r="AB26" s="38"/>
      <c r="AC26" s="38"/>
      <c r="AD26" s="38"/>
      <c r="AE26" s="38"/>
      <c r="AF26" s="38"/>
      <c r="AG26" s="38"/>
      <c r="AH26" s="38"/>
      <c r="AI26" s="38"/>
      <c r="AJ26" s="38"/>
      <c r="AK26" s="38"/>
      <c r="AL26" s="39"/>
    </row>
    <row r="27" spans="1:38" ht="12.75">
      <c r="A27" s="105"/>
      <c r="B27" s="106"/>
      <c r="C27" s="106"/>
      <c r="D27" s="106"/>
      <c r="E27" s="106"/>
      <c r="F27" s="106"/>
      <c r="G27" s="106"/>
      <c r="H27" s="106"/>
      <c r="I27" s="106"/>
      <c r="J27" s="106"/>
      <c r="K27" s="106"/>
      <c r="L27" s="106"/>
      <c r="M27" s="106"/>
      <c r="N27" s="106"/>
      <c r="O27" s="106"/>
      <c r="P27" s="106"/>
      <c r="Q27" s="106"/>
      <c r="R27" s="106"/>
      <c r="S27" s="107"/>
      <c r="T27" s="37"/>
      <c r="U27" s="38"/>
      <c r="V27" s="38"/>
      <c r="W27" s="38"/>
      <c r="X27" s="38"/>
      <c r="Y27" s="38"/>
      <c r="Z27" s="38"/>
      <c r="AA27" s="38"/>
      <c r="AB27" s="38"/>
      <c r="AC27" s="38"/>
      <c r="AD27" s="38"/>
      <c r="AE27" s="38"/>
      <c r="AF27" s="38"/>
      <c r="AG27" s="38"/>
      <c r="AH27" s="38"/>
      <c r="AI27" s="38"/>
      <c r="AJ27" s="38"/>
      <c r="AK27" s="38"/>
      <c r="AL27" s="39"/>
    </row>
    <row r="28" spans="1:38" ht="12.75">
      <c r="A28" s="105"/>
      <c r="B28" s="106"/>
      <c r="C28" s="106"/>
      <c r="D28" s="106"/>
      <c r="E28" s="106"/>
      <c r="F28" s="106"/>
      <c r="G28" s="106"/>
      <c r="H28" s="106"/>
      <c r="I28" s="106"/>
      <c r="J28" s="106"/>
      <c r="K28" s="106"/>
      <c r="L28" s="106"/>
      <c r="M28" s="106"/>
      <c r="N28" s="106"/>
      <c r="O28" s="106"/>
      <c r="P28" s="106"/>
      <c r="Q28" s="106"/>
      <c r="R28" s="106"/>
      <c r="S28" s="107"/>
      <c r="T28" s="37"/>
      <c r="U28" s="38"/>
      <c r="V28" s="38"/>
      <c r="W28" s="38"/>
      <c r="X28" s="38"/>
      <c r="Y28" s="38"/>
      <c r="Z28" s="38"/>
      <c r="AA28" s="38"/>
      <c r="AB28" s="38"/>
      <c r="AC28" s="38"/>
      <c r="AD28" s="38"/>
      <c r="AE28" s="38"/>
      <c r="AF28" s="38"/>
      <c r="AG28" s="38"/>
      <c r="AH28" s="38"/>
      <c r="AI28" s="38"/>
      <c r="AJ28" s="38"/>
      <c r="AK28" s="38"/>
      <c r="AL28" s="39"/>
    </row>
    <row r="29" spans="1:38" ht="12.75">
      <c r="A29" s="105"/>
      <c r="B29" s="106"/>
      <c r="C29" s="106"/>
      <c r="D29" s="106"/>
      <c r="E29" s="106"/>
      <c r="F29" s="106"/>
      <c r="G29" s="106"/>
      <c r="H29" s="106"/>
      <c r="I29" s="106"/>
      <c r="J29" s="106"/>
      <c r="K29" s="106"/>
      <c r="L29" s="106"/>
      <c r="M29" s="106"/>
      <c r="N29" s="106"/>
      <c r="O29" s="106"/>
      <c r="P29" s="106"/>
      <c r="Q29" s="106"/>
      <c r="R29" s="106"/>
      <c r="S29" s="107"/>
      <c r="T29" s="37"/>
      <c r="U29" s="38"/>
      <c r="V29" s="38"/>
      <c r="W29" s="38"/>
      <c r="X29" s="38"/>
      <c r="Y29" s="38"/>
      <c r="Z29" s="38"/>
      <c r="AA29" s="38"/>
      <c r="AB29" s="38"/>
      <c r="AC29" s="38"/>
      <c r="AD29" s="38"/>
      <c r="AE29" s="38"/>
      <c r="AF29" s="38"/>
      <c r="AG29" s="38"/>
      <c r="AH29" s="38"/>
      <c r="AI29" s="38"/>
      <c r="AJ29" s="38"/>
      <c r="AK29" s="38"/>
      <c r="AL29" s="39"/>
    </row>
    <row r="30" spans="1:38" ht="12.75">
      <c r="A30" s="105"/>
      <c r="B30" s="106"/>
      <c r="C30" s="106"/>
      <c r="D30" s="106"/>
      <c r="E30" s="106"/>
      <c r="F30" s="106"/>
      <c r="G30" s="106"/>
      <c r="H30" s="106"/>
      <c r="I30" s="106"/>
      <c r="J30" s="106"/>
      <c r="K30" s="106"/>
      <c r="L30" s="106"/>
      <c r="M30" s="106"/>
      <c r="N30" s="106"/>
      <c r="O30" s="106"/>
      <c r="P30" s="106"/>
      <c r="Q30" s="106"/>
      <c r="R30" s="106"/>
      <c r="S30" s="107"/>
      <c r="T30" s="37"/>
      <c r="U30" s="38"/>
      <c r="V30" s="38"/>
      <c r="W30" s="38"/>
      <c r="X30" s="38"/>
      <c r="Y30" s="38"/>
      <c r="Z30" s="38"/>
      <c r="AA30" s="38"/>
      <c r="AB30" s="38"/>
      <c r="AC30" s="38"/>
      <c r="AD30" s="38"/>
      <c r="AE30" s="38"/>
      <c r="AF30" s="38"/>
      <c r="AG30" s="38"/>
      <c r="AH30" s="38"/>
      <c r="AI30" s="38"/>
      <c r="AJ30" s="38"/>
      <c r="AK30" s="38"/>
      <c r="AL30" s="39"/>
    </row>
    <row r="31" spans="1:38" ht="12.75">
      <c r="A31" s="105"/>
      <c r="B31" s="106"/>
      <c r="C31" s="106"/>
      <c r="D31" s="106"/>
      <c r="E31" s="106"/>
      <c r="F31" s="106"/>
      <c r="G31" s="106"/>
      <c r="H31" s="106"/>
      <c r="I31" s="106"/>
      <c r="J31" s="106"/>
      <c r="K31" s="106"/>
      <c r="L31" s="106"/>
      <c r="M31" s="106"/>
      <c r="N31" s="106"/>
      <c r="O31" s="106"/>
      <c r="P31" s="106"/>
      <c r="Q31" s="106"/>
      <c r="R31" s="106"/>
      <c r="S31" s="107"/>
      <c r="T31" s="37"/>
      <c r="U31" s="38"/>
      <c r="V31" s="38"/>
      <c r="W31" s="38"/>
      <c r="X31" s="38"/>
      <c r="Y31" s="38"/>
      <c r="Z31" s="38"/>
      <c r="AA31" s="38"/>
      <c r="AB31" s="38"/>
      <c r="AC31" s="38"/>
      <c r="AD31" s="38"/>
      <c r="AE31" s="38"/>
      <c r="AF31" s="38"/>
      <c r="AG31" s="38"/>
      <c r="AH31" s="38"/>
      <c r="AI31" s="38"/>
      <c r="AJ31" s="38"/>
      <c r="AK31" s="38"/>
      <c r="AL31" s="39"/>
    </row>
    <row r="32" spans="1:38" ht="12.75">
      <c r="A32" s="105"/>
      <c r="B32" s="106"/>
      <c r="C32" s="106"/>
      <c r="D32" s="106"/>
      <c r="E32" s="106"/>
      <c r="F32" s="106"/>
      <c r="G32" s="106"/>
      <c r="H32" s="106"/>
      <c r="I32" s="106"/>
      <c r="J32" s="106"/>
      <c r="K32" s="106"/>
      <c r="L32" s="106"/>
      <c r="M32" s="106"/>
      <c r="N32" s="106"/>
      <c r="O32" s="106"/>
      <c r="P32" s="106"/>
      <c r="Q32" s="106"/>
      <c r="R32" s="106"/>
      <c r="S32" s="107"/>
      <c r="T32" s="37"/>
      <c r="U32" s="38"/>
      <c r="V32" s="38"/>
      <c r="W32" s="38"/>
      <c r="X32" s="38"/>
      <c r="Y32" s="38"/>
      <c r="Z32" s="38"/>
      <c r="AA32" s="38"/>
      <c r="AB32" s="38"/>
      <c r="AC32" s="38"/>
      <c r="AD32" s="38"/>
      <c r="AE32" s="38"/>
      <c r="AF32" s="38"/>
      <c r="AG32" s="38"/>
      <c r="AH32" s="38"/>
      <c r="AI32" s="38"/>
      <c r="AJ32" s="38"/>
      <c r="AK32" s="38"/>
      <c r="AL32" s="39"/>
    </row>
    <row r="33" spans="1:38" ht="12.75">
      <c r="A33" s="105"/>
      <c r="B33" s="106"/>
      <c r="C33" s="106"/>
      <c r="D33" s="106"/>
      <c r="E33" s="106"/>
      <c r="F33" s="106"/>
      <c r="G33" s="106"/>
      <c r="H33" s="106"/>
      <c r="I33" s="106"/>
      <c r="J33" s="106"/>
      <c r="K33" s="106"/>
      <c r="L33" s="106"/>
      <c r="M33" s="106"/>
      <c r="N33" s="106"/>
      <c r="O33" s="106"/>
      <c r="P33" s="106"/>
      <c r="Q33" s="106"/>
      <c r="R33" s="106"/>
      <c r="S33" s="107"/>
      <c r="T33" s="37"/>
      <c r="U33" s="38"/>
      <c r="V33" s="38"/>
      <c r="W33" s="38"/>
      <c r="X33" s="38"/>
      <c r="Y33" s="38"/>
      <c r="Z33" s="38"/>
      <c r="AA33" s="38"/>
      <c r="AB33" s="38"/>
      <c r="AC33" s="38"/>
      <c r="AD33" s="38"/>
      <c r="AE33" s="38"/>
      <c r="AF33" s="38"/>
      <c r="AG33" s="38"/>
      <c r="AH33" s="38"/>
      <c r="AI33" s="38"/>
      <c r="AJ33" s="38"/>
      <c r="AK33" s="38"/>
      <c r="AL33" s="39"/>
    </row>
    <row r="34" spans="1:38" ht="12.75">
      <c r="A34" s="105"/>
      <c r="B34" s="106"/>
      <c r="C34" s="106"/>
      <c r="D34" s="106"/>
      <c r="E34" s="106"/>
      <c r="F34" s="106"/>
      <c r="G34" s="106"/>
      <c r="H34" s="106"/>
      <c r="I34" s="106"/>
      <c r="J34" s="106"/>
      <c r="K34" s="106"/>
      <c r="L34" s="106"/>
      <c r="M34" s="106"/>
      <c r="N34" s="106"/>
      <c r="O34" s="106"/>
      <c r="P34" s="106"/>
      <c r="Q34" s="106"/>
      <c r="R34" s="106"/>
      <c r="S34" s="107"/>
      <c r="T34" s="37"/>
      <c r="U34" s="38"/>
      <c r="V34" s="38"/>
      <c r="W34" s="38"/>
      <c r="X34" s="38"/>
      <c r="Y34" s="38"/>
      <c r="Z34" s="38"/>
      <c r="AA34" s="38"/>
      <c r="AB34" s="38"/>
      <c r="AC34" s="38"/>
      <c r="AD34" s="38"/>
      <c r="AE34" s="38"/>
      <c r="AF34" s="38"/>
      <c r="AG34" s="38"/>
      <c r="AH34" s="38"/>
      <c r="AI34" s="38"/>
      <c r="AJ34" s="38"/>
      <c r="AK34" s="38"/>
      <c r="AL34" s="39"/>
    </row>
    <row r="35" spans="1:38" ht="12.75">
      <c r="A35" s="105"/>
      <c r="B35" s="106"/>
      <c r="C35" s="106"/>
      <c r="D35" s="106"/>
      <c r="E35" s="106"/>
      <c r="F35" s="106"/>
      <c r="G35" s="106"/>
      <c r="H35" s="106"/>
      <c r="I35" s="106"/>
      <c r="J35" s="106"/>
      <c r="K35" s="106"/>
      <c r="L35" s="106"/>
      <c r="M35" s="106"/>
      <c r="N35" s="106"/>
      <c r="O35" s="106"/>
      <c r="P35" s="106"/>
      <c r="Q35" s="106"/>
      <c r="R35" s="106"/>
      <c r="S35" s="107"/>
      <c r="T35" s="37"/>
      <c r="U35" s="38"/>
      <c r="V35" s="38"/>
      <c r="W35" s="38"/>
      <c r="X35" s="38"/>
      <c r="Y35" s="38"/>
      <c r="Z35" s="38"/>
      <c r="AA35" s="38"/>
      <c r="AB35" s="38"/>
      <c r="AC35" s="38"/>
      <c r="AD35" s="38"/>
      <c r="AE35" s="38"/>
      <c r="AF35" s="38"/>
      <c r="AG35" s="38"/>
      <c r="AH35" s="38"/>
      <c r="AI35" s="38"/>
      <c r="AJ35" s="38"/>
      <c r="AK35" s="38"/>
      <c r="AL35" s="39"/>
    </row>
    <row r="36" spans="1:38" ht="12.75">
      <c r="A36" s="105"/>
      <c r="B36" s="106"/>
      <c r="C36" s="106"/>
      <c r="D36" s="106"/>
      <c r="E36" s="106"/>
      <c r="F36" s="106"/>
      <c r="G36" s="106"/>
      <c r="H36" s="106"/>
      <c r="I36" s="106"/>
      <c r="J36" s="106"/>
      <c r="K36" s="106"/>
      <c r="L36" s="106"/>
      <c r="M36" s="106"/>
      <c r="N36" s="106"/>
      <c r="O36" s="106"/>
      <c r="P36" s="106"/>
      <c r="Q36" s="106"/>
      <c r="R36" s="106"/>
      <c r="S36" s="107"/>
      <c r="T36" s="37"/>
      <c r="U36" s="38"/>
      <c r="V36" s="38"/>
      <c r="W36" s="38"/>
      <c r="X36" s="38"/>
      <c r="Y36" s="38"/>
      <c r="Z36" s="38"/>
      <c r="AA36" s="38"/>
      <c r="AB36" s="38"/>
      <c r="AC36" s="38"/>
      <c r="AD36" s="38"/>
      <c r="AE36" s="38"/>
      <c r="AF36" s="38"/>
      <c r="AG36" s="38"/>
      <c r="AH36" s="38"/>
      <c r="AI36" s="38"/>
      <c r="AJ36" s="38"/>
      <c r="AK36" s="38"/>
      <c r="AL36" s="39"/>
    </row>
    <row r="37" spans="1:38" ht="12.75">
      <c r="A37" s="105"/>
      <c r="B37" s="106"/>
      <c r="C37" s="106"/>
      <c r="D37" s="106"/>
      <c r="E37" s="106"/>
      <c r="F37" s="106"/>
      <c r="G37" s="106"/>
      <c r="H37" s="106"/>
      <c r="I37" s="106"/>
      <c r="J37" s="106"/>
      <c r="K37" s="106"/>
      <c r="L37" s="106"/>
      <c r="M37" s="106"/>
      <c r="N37" s="106"/>
      <c r="O37" s="106"/>
      <c r="P37" s="106"/>
      <c r="Q37" s="106"/>
      <c r="R37" s="106"/>
      <c r="S37" s="107"/>
      <c r="T37" s="37"/>
      <c r="U37" s="38"/>
      <c r="V37" s="38"/>
      <c r="W37" s="38"/>
      <c r="X37" s="38"/>
      <c r="Y37" s="38"/>
      <c r="Z37" s="38"/>
      <c r="AA37" s="38"/>
      <c r="AB37" s="38"/>
      <c r="AC37" s="38"/>
      <c r="AD37" s="38"/>
      <c r="AE37" s="38"/>
      <c r="AF37" s="38"/>
      <c r="AG37" s="38"/>
      <c r="AH37" s="38"/>
      <c r="AI37" s="38"/>
      <c r="AJ37" s="38"/>
      <c r="AK37" s="38"/>
      <c r="AL37" s="39"/>
    </row>
    <row r="38" spans="1:38" ht="12.75">
      <c r="A38" s="105"/>
      <c r="B38" s="106"/>
      <c r="C38" s="106"/>
      <c r="D38" s="106"/>
      <c r="E38" s="106"/>
      <c r="F38" s="106"/>
      <c r="G38" s="106"/>
      <c r="H38" s="106"/>
      <c r="I38" s="106"/>
      <c r="J38" s="106"/>
      <c r="K38" s="106"/>
      <c r="L38" s="106"/>
      <c r="M38" s="106"/>
      <c r="N38" s="106"/>
      <c r="O38" s="106"/>
      <c r="P38" s="106"/>
      <c r="Q38" s="106"/>
      <c r="R38" s="106"/>
      <c r="S38" s="107"/>
      <c r="T38" s="37"/>
      <c r="U38" s="38"/>
      <c r="V38" s="38"/>
      <c r="W38" s="38"/>
      <c r="X38" s="38"/>
      <c r="Y38" s="38"/>
      <c r="Z38" s="38"/>
      <c r="AA38" s="38"/>
      <c r="AB38" s="38"/>
      <c r="AC38" s="38"/>
      <c r="AD38" s="38"/>
      <c r="AE38" s="38"/>
      <c r="AF38" s="38"/>
      <c r="AG38" s="38"/>
      <c r="AH38" s="38"/>
      <c r="AI38" s="38"/>
      <c r="AJ38" s="38"/>
      <c r="AK38" s="38"/>
      <c r="AL38" s="39"/>
    </row>
    <row r="39" spans="1:38" ht="12.75">
      <c r="A39" s="105"/>
      <c r="B39" s="106"/>
      <c r="C39" s="106"/>
      <c r="D39" s="106"/>
      <c r="E39" s="106"/>
      <c r="F39" s="106"/>
      <c r="G39" s="106"/>
      <c r="H39" s="106"/>
      <c r="I39" s="106"/>
      <c r="J39" s="106"/>
      <c r="K39" s="106"/>
      <c r="L39" s="106"/>
      <c r="M39" s="106"/>
      <c r="N39" s="106"/>
      <c r="O39" s="106"/>
      <c r="P39" s="106"/>
      <c r="Q39" s="106"/>
      <c r="R39" s="106"/>
      <c r="S39" s="107"/>
      <c r="T39" s="37"/>
      <c r="U39" s="38"/>
      <c r="V39" s="38"/>
      <c r="W39" s="38"/>
      <c r="X39" s="38"/>
      <c r="Y39" s="38"/>
      <c r="Z39" s="38"/>
      <c r="AA39" s="38"/>
      <c r="AB39" s="38"/>
      <c r="AC39" s="38"/>
      <c r="AD39" s="38"/>
      <c r="AE39" s="38"/>
      <c r="AF39" s="38"/>
      <c r="AG39" s="38"/>
      <c r="AH39" s="38"/>
      <c r="AI39" s="38"/>
      <c r="AJ39" s="38"/>
      <c r="AK39" s="38"/>
      <c r="AL39" s="39"/>
    </row>
    <row r="40" spans="1:38" ht="12.75">
      <c r="A40" s="105"/>
      <c r="B40" s="106"/>
      <c r="C40" s="106"/>
      <c r="D40" s="106"/>
      <c r="E40" s="106"/>
      <c r="F40" s="106"/>
      <c r="G40" s="106"/>
      <c r="H40" s="106"/>
      <c r="I40" s="106"/>
      <c r="J40" s="106"/>
      <c r="K40" s="106"/>
      <c r="L40" s="106"/>
      <c r="M40" s="106"/>
      <c r="N40" s="106"/>
      <c r="O40" s="106"/>
      <c r="P40" s="106"/>
      <c r="Q40" s="106"/>
      <c r="R40" s="106"/>
      <c r="S40" s="107"/>
      <c r="T40" s="37"/>
      <c r="U40" s="38"/>
      <c r="V40" s="38"/>
      <c r="W40" s="38"/>
      <c r="X40" s="38"/>
      <c r="Y40" s="38"/>
      <c r="Z40" s="38"/>
      <c r="AA40" s="38"/>
      <c r="AB40" s="38"/>
      <c r="AC40" s="38"/>
      <c r="AD40" s="38"/>
      <c r="AE40" s="38"/>
      <c r="AF40" s="38"/>
      <c r="AG40" s="38"/>
      <c r="AH40" s="38"/>
      <c r="AI40" s="38"/>
      <c r="AJ40" s="38"/>
      <c r="AK40" s="38"/>
      <c r="AL40" s="39"/>
    </row>
    <row r="41" spans="1:38" ht="12.75">
      <c r="A41" s="105"/>
      <c r="B41" s="106"/>
      <c r="C41" s="106"/>
      <c r="D41" s="106"/>
      <c r="E41" s="106"/>
      <c r="F41" s="106"/>
      <c r="G41" s="106"/>
      <c r="H41" s="106"/>
      <c r="I41" s="106"/>
      <c r="J41" s="106"/>
      <c r="K41" s="106"/>
      <c r="L41" s="106"/>
      <c r="M41" s="106"/>
      <c r="N41" s="106"/>
      <c r="O41" s="106"/>
      <c r="P41" s="106"/>
      <c r="Q41" s="106"/>
      <c r="R41" s="106"/>
      <c r="S41" s="107"/>
      <c r="T41" s="37"/>
      <c r="U41" s="38"/>
      <c r="V41" s="38"/>
      <c r="W41" s="38"/>
      <c r="X41" s="38"/>
      <c r="Y41" s="38"/>
      <c r="Z41" s="38"/>
      <c r="AA41" s="38"/>
      <c r="AB41" s="38"/>
      <c r="AC41" s="38"/>
      <c r="AD41" s="38"/>
      <c r="AE41" s="38"/>
      <c r="AF41" s="38"/>
      <c r="AG41" s="38"/>
      <c r="AH41" s="38"/>
      <c r="AI41" s="38"/>
      <c r="AJ41" s="38"/>
      <c r="AK41" s="38"/>
      <c r="AL41" s="39"/>
    </row>
    <row r="42" spans="1:38" ht="12.75">
      <c r="A42" s="105"/>
      <c r="B42" s="106"/>
      <c r="C42" s="106"/>
      <c r="D42" s="106"/>
      <c r="E42" s="106"/>
      <c r="F42" s="106"/>
      <c r="G42" s="106"/>
      <c r="H42" s="106"/>
      <c r="I42" s="106"/>
      <c r="J42" s="106"/>
      <c r="K42" s="106"/>
      <c r="L42" s="106"/>
      <c r="M42" s="106"/>
      <c r="N42" s="106"/>
      <c r="O42" s="106"/>
      <c r="P42" s="106"/>
      <c r="Q42" s="106"/>
      <c r="R42" s="106"/>
      <c r="S42" s="107"/>
      <c r="T42" s="37"/>
      <c r="U42" s="38"/>
      <c r="V42" s="38"/>
      <c r="W42" s="38"/>
      <c r="X42" s="38"/>
      <c r="Y42" s="38"/>
      <c r="Z42" s="38"/>
      <c r="AA42" s="38"/>
      <c r="AB42" s="38"/>
      <c r="AC42" s="38"/>
      <c r="AD42" s="38"/>
      <c r="AE42" s="38"/>
      <c r="AF42" s="38"/>
      <c r="AG42" s="38"/>
      <c r="AH42" s="38"/>
      <c r="AI42" s="38"/>
      <c r="AJ42" s="38"/>
      <c r="AK42" s="38"/>
      <c r="AL42" s="39"/>
    </row>
    <row r="43" spans="1:38" ht="12.75">
      <c r="A43" s="105"/>
      <c r="B43" s="106"/>
      <c r="C43" s="106"/>
      <c r="D43" s="106"/>
      <c r="E43" s="106"/>
      <c r="F43" s="106"/>
      <c r="G43" s="106"/>
      <c r="H43" s="106"/>
      <c r="I43" s="106"/>
      <c r="J43" s="106"/>
      <c r="K43" s="106"/>
      <c r="L43" s="106"/>
      <c r="M43" s="106"/>
      <c r="N43" s="106"/>
      <c r="O43" s="106"/>
      <c r="P43" s="106"/>
      <c r="Q43" s="106"/>
      <c r="R43" s="106"/>
      <c r="S43" s="107"/>
      <c r="T43" s="37"/>
      <c r="U43" s="38"/>
      <c r="V43" s="38"/>
      <c r="W43" s="38"/>
      <c r="X43" s="38"/>
      <c r="Y43" s="38"/>
      <c r="Z43" s="38"/>
      <c r="AA43" s="38"/>
      <c r="AB43" s="38"/>
      <c r="AC43" s="38"/>
      <c r="AD43" s="38"/>
      <c r="AE43" s="38"/>
      <c r="AF43" s="38"/>
      <c r="AG43" s="38"/>
      <c r="AH43" s="38"/>
      <c r="AI43" s="38"/>
      <c r="AJ43" s="38"/>
      <c r="AK43" s="38"/>
      <c r="AL43" s="39"/>
    </row>
    <row r="44" spans="1:38" ht="12.75">
      <c r="A44" s="105"/>
      <c r="B44" s="106"/>
      <c r="C44" s="106"/>
      <c r="D44" s="106"/>
      <c r="E44" s="106"/>
      <c r="F44" s="106"/>
      <c r="G44" s="106"/>
      <c r="H44" s="106"/>
      <c r="I44" s="106"/>
      <c r="J44" s="106"/>
      <c r="K44" s="106"/>
      <c r="L44" s="106"/>
      <c r="M44" s="106"/>
      <c r="N44" s="106"/>
      <c r="O44" s="106"/>
      <c r="P44" s="106"/>
      <c r="Q44" s="106"/>
      <c r="R44" s="106"/>
      <c r="S44" s="107"/>
      <c r="T44" s="37"/>
      <c r="U44" s="38"/>
      <c r="V44" s="38"/>
      <c r="W44" s="38"/>
      <c r="X44" s="38"/>
      <c r="Y44" s="38"/>
      <c r="Z44" s="38"/>
      <c r="AA44" s="38"/>
      <c r="AB44" s="38"/>
      <c r="AC44" s="38"/>
      <c r="AD44" s="38"/>
      <c r="AE44" s="38"/>
      <c r="AF44" s="38"/>
      <c r="AG44" s="38"/>
      <c r="AH44" s="38"/>
      <c r="AI44" s="38"/>
      <c r="AJ44" s="38"/>
      <c r="AK44" s="38"/>
      <c r="AL44" s="39"/>
    </row>
    <row r="45" spans="1:38" ht="12.75">
      <c r="A45" s="105"/>
      <c r="B45" s="106"/>
      <c r="C45" s="106"/>
      <c r="D45" s="106"/>
      <c r="E45" s="106"/>
      <c r="F45" s="106"/>
      <c r="G45" s="106"/>
      <c r="H45" s="106"/>
      <c r="I45" s="106"/>
      <c r="J45" s="106"/>
      <c r="K45" s="106"/>
      <c r="L45" s="106"/>
      <c r="M45" s="106"/>
      <c r="N45" s="106"/>
      <c r="O45" s="106"/>
      <c r="P45" s="106"/>
      <c r="Q45" s="106"/>
      <c r="R45" s="106"/>
      <c r="S45" s="107"/>
      <c r="T45" s="37"/>
      <c r="U45" s="38"/>
      <c r="V45" s="38"/>
      <c r="W45" s="38"/>
      <c r="X45" s="38"/>
      <c r="Y45" s="38"/>
      <c r="Z45" s="38"/>
      <c r="AA45" s="38"/>
      <c r="AB45" s="38"/>
      <c r="AC45" s="38"/>
      <c r="AD45" s="38"/>
      <c r="AE45" s="38"/>
      <c r="AF45" s="38"/>
      <c r="AG45" s="38"/>
      <c r="AH45" s="38"/>
      <c r="AI45" s="38"/>
      <c r="AJ45" s="38"/>
      <c r="AK45" s="38"/>
      <c r="AL45" s="39"/>
    </row>
    <row r="46" spans="1:38" ht="12.75">
      <c r="A46" s="105"/>
      <c r="B46" s="106"/>
      <c r="C46" s="106"/>
      <c r="D46" s="106"/>
      <c r="E46" s="106"/>
      <c r="F46" s="106"/>
      <c r="G46" s="106"/>
      <c r="H46" s="106"/>
      <c r="I46" s="106"/>
      <c r="J46" s="106"/>
      <c r="K46" s="106"/>
      <c r="L46" s="106"/>
      <c r="M46" s="106"/>
      <c r="N46" s="106"/>
      <c r="O46" s="106"/>
      <c r="P46" s="106"/>
      <c r="Q46" s="106"/>
      <c r="R46" s="106"/>
      <c r="S46" s="107"/>
      <c r="T46" s="37"/>
      <c r="U46" s="38"/>
      <c r="V46" s="38"/>
      <c r="W46" s="38"/>
      <c r="X46" s="38"/>
      <c r="Y46" s="38"/>
      <c r="Z46" s="38"/>
      <c r="AA46" s="38"/>
      <c r="AB46" s="38"/>
      <c r="AC46" s="38"/>
      <c r="AD46" s="38"/>
      <c r="AE46" s="38"/>
      <c r="AF46" s="38"/>
      <c r="AG46" s="38"/>
      <c r="AH46" s="38"/>
      <c r="AI46" s="38"/>
      <c r="AJ46" s="38"/>
      <c r="AK46" s="38"/>
      <c r="AL46" s="39"/>
    </row>
    <row r="47" spans="1:38" ht="12.75">
      <c r="A47" s="105"/>
      <c r="B47" s="106"/>
      <c r="C47" s="106"/>
      <c r="D47" s="106"/>
      <c r="E47" s="106"/>
      <c r="F47" s="106"/>
      <c r="G47" s="106"/>
      <c r="H47" s="106"/>
      <c r="I47" s="106"/>
      <c r="J47" s="106"/>
      <c r="K47" s="106"/>
      <c r="L47" s="106"/>
      <c r="M47" s="106"/>
      <c r="N47" s="106"/>
      <c r="O47" s="106"/>
      <c r="P47" s="106"/>
      <c r="Q47" s="106"/>
      <c r="R47" s="106"/>
      <c r="S47" s="107"/>
      <c r="T47" s="37"/>
      <c r="U47" s="38"/>
      <c r="V47" s="38"/>
      <c r="W47" s="38"/>
      <c r="X47" s="38"/>
      <c r="Y47" s="38"/>
      <c r="Z47" s="38"/>
      <c r="AA47" s="38"/>
      <c r="AB47" s="38"/>
      <c r="AC47" s="38"/>
      <c r="AD47" s="38"/>
      <c r="AE47" s="38"/>
      <c r="AF47" s="38"/>
      <c r="AG47" s="38"/>
      <c r="AH47" s="38"/>
      <c r="AI47" s="38"/>
      <c r="AJ47" s="38"/>
      <c r="AK47" s="38"/>
      <c r="AL47" s="39"/>
    </row>
    <row r="48" spans="1:38" ht="12.75">
      <c r="A48" s="105"/>
      <c r="B48" s="106"/>
      <c r="C48" s="106"/>
      <c r="D48" s="106"/>
      <c r="E48" s="106"/>
      <c r="F48" s="106"/>
      <c r="G48" s="106"/>
      <c r="H48" s="106"/>
      <c r="I48" s="106"/>
      <c r="J48" s="106"/>
      <c r="K48" s="106"/>
      <c r="L48" s="106"/>
      <c r="M48" s="106"/>
      <c r="N48" s="106"/>
      <c r="O48" s="106"/>
      <c r="P48" s="106"/>
      <c r="Q48" s="106"/>
      <c r="R48" s="106"/>
      <c r="S48" s="107"/>
      <c r="T48" s="37"/>
      <c r="U48" s="38"/>
      <c r="V48" s="38"/>
      <c r="W48" s="38"/>
      <c r="X48" s="38"/>
      <c r="Y48" s="38"/>
      <c r="Z48" s="38"/>
      <c r="AA48" s="38"/>
      <c r="AB48" s="38"/>
      <c r="AC48" s="38"/>
      <c r="AD48" s="38"/>
      <c r="AE48" s="38"/>
      <c r="AF48" s="38"/>
      <c r="AG48" s="38"/>
      <c r="AH48" s="38"/>
      <c r="AI48" s="38"/>
      <c r="AJ48" s="38"/>
      <c r="AK48" s="38"/>
      <c r="AL48" s="39"/>
    </row>
    <row r="49" spans="1:38" ht="12.75">
      <c r="A49" s="105"/>
      <c r="B49" s="106"/>
      <c r="C49" s="106"/>
      <c r="D49" s="106"/>
      <c r="E49" s="106"/>
      <c r="F49" s="106"/>
      <c r="G49" s="106"/>
      <c r="H49" s="106"/>
      <c r="I49" s="106"/>
      <c r="J49" s="106"/>
      <c r="K49" s="106"/>
      <c r="L49" s="106"/>
      <c r="M49" s="106"/>
      <c r="N49" s="106"/>
      <c r="O49" s="106"/>
      <c r="P49" s="106"/>
      <c r="Q49" s="106"/>
      <c r="R49" s="106"/>
      <c r="S49" s="107"/>
      <c r="T49" s="37"/>
      <c r="U49" s="38"/>
      <c r="V49" s="38"/>
      <c r="W49" s="38"/>
      <c r="X49" s="38"/>
      <c r="Y49" s="38"/>
      <c r="Z49" s="38"/>
      <c r="AA49" s="38"/>
      <c r="AB49" s="38"/>
      <c r="AC49" s="38"/>
      <c r="AD49" s="38"/>
      <c r="AE49" s="38"/>
      <c r="AF49" s="38"/>
      <c r="AG49" s="38"/>
      <c r="AH49" s="38"/>
      <c r="AI49" s="38"/>
      <c r="AJ49" s="38"/>
      <c r="AK49" s="38"/>
      <c r="AL49" s="39"/>
    </row>
    <row r="50" spans="1:38" ht="12.75">
      <c r="A50" s="105"/>
      <c r="B50" s="106"/>
      <c r="C50" s="106"/>
      <c r="D50" s="106"/>
      <c r="E50" s="106"/>
      <c r="F50" s="106"/>
      <c r="G50" s="106"/>
      <c r="H50" s="106"/>
      <c r="I50" s="106"/>
      <c r="J50" s="106"/>
      <c r="K50" s="106"/>
      <c r="L50" s="106"/>
      <c r="M50" s="106"/>
      <c r="N50" s="106"/>
      <c r="O50" s="106"/>
      <c r="P50" s="106"/>
      <c r="Q50" s="106"/>
      <c r="R50" s="106"/>
      <c r="S50" s="107"/>
      <c r="T50" s="37"/>
      <c r="U50" s="38"/>
      <c r="V50" s="38"/>
      <c r="W50" s="38"/>
      <c r="X50" s="38"/>
      <c r="Y50" s="38"/>
      <c r="Z50" s="38"/>
      <c r="AA50" s="38"/>
      <c r="AB50" s="38"/>
      <c r="AC50" s="38"/>
      <c r="AD50" s="38"/>
      <c r="AE50" s="38"/>
      <c r="AF50" s="38"/>
      <c r="AG50" s="38"/>
      <c r="AH50" s="38"/>
      <c r="AI50" s="38"/>
      <c r="AJ50" s="38"/>
      <c r="AK50" s="38"/>
      <c r="AL50" s="39"/>
    </row>
    <row r="51" spans="1:38" ht="12.75">
      <c r="A51" s="105"/>
      <c r="B51" s="106"/>
      <c r="C51" s="106"/>
      <c r="D51" s="106"/>
      <c r="E51" s="106"/>
      <c r="F51" s="106"/>
      <c r="G51" s="106"/>
      <c r="H51" s="106"/>
      <c r="I51" s="106"/>
      <c r="J51" s="106"/>
      <c r="K51" s="106"/>
      <c r="L51" s="106"/>
      <c r="M51" s="106"/>
      <c r="N51" s="106"/>
      <c r="O51" s="106"/>
      <c r="P51" s="106"/>
      <c r="Q51" s="106"/>
      <c r="R51" s="106"/>
      <c r="S51" s="107"/>
      <c r="T51" s="37"/>
      <c r="U51" s="38"/>
      <c r="V51" s="38"/>
      <c r="W51" s="38"/>
      <c r="X51" s="38"/>
      <c r="Y51" s="38"/>
      <c r="Z51" s="38"/>
      <c r="AA51" s="38"/>
      <c r="AB51" s="38"/>
      <c r="AC51" s="38"/>
      <c r="AD51" s="38"/>
      <c r="AE51" s="38"/>
      <c r="AF51" s="38"/>
      <c r="AG51" s="38"/>
      <c r="AH51" s="38"/>
      <c r="AI51" s="38"/>
      <c r="AJ51" s="38"/>
      <c r="AK51" s="38"/>
      <c r="AL51" s="39"/>
    </row>
    <row r="52" spans="1:38" ht="12.75">
      <c r="A52" s="105"/>
      <c r="B52" s="106"/>
      <c r="C52" s="106"/>
      <c r="D52" s="106"/>
      <c r="E52" s="106"/>
      <c r="F52" s="106"/>
      <c r="G52" s="106"/>
      <c r="H52" s="106"/>
      <c r="I52" s="106"/>
      <c r="J52" s="106"/>
      <c r="K52" s="106"/>
      <c r="L52" s="106"/>
      <c r="M52" s="106"/>
      <c r="N52" s="106"/>
      <c r="O52" s="106"/>
      <c r="P52" s="106"/>
      <c r="Q52" s="106"/>
      <c r="R52" s="106"/>
      <c r="S52" s="107"/>
      <c r="T52" s="37"/>
      <c r="U52" s="38"/>
      <c r="V52" s="38"/>
      <c r="W52" s="38"/>
      <c r="X52" s="38"/>
      <c r="Y52" s="38"/>
      <c r="Z52" s="38"/>
      <c r="AA52" s="38"/>
      <c r="AB52" s="38"/>
      <c r="AC52" s="38"/>
      <c r="AD52" s="38"/>
      <c r="AE52" s="38"/>
      <c r="AF52" s="38"/>
      <c r="AG52" s="38"/>
      <c r="AH52" s="38"/>
      <c r="AI52" s="38"/>
      <c r="AJ52" s="38"/>
      <c r="AK52" s="38"/>
      <c r="AL52" s="39"/>
    </row>
    <row r="53" spans="1:38" ht="12.75">
      <c r="A53" s="105"/>
      <c r="B53" s="106"/>
      <c r="C53" s="106"/>
      <c r="D53" s="106"/>
      <c r="E53" s="106"/>
      <c r="F53" s="106"/>
      <c r="G53" s="106"/>
      <c r="H53" s="106"/>
      <c r="I53" s="106"/>
      <c r="J53" s="106"/>
      <c r="K53" s="106"/>
      <c r="L53" s="106"/>
      <c r="M53" s="106"/>
      <c r="N53" s="106"/>
      <c r="O53" s="106"/>
      <c r="P53" s="106"/>
      <c r="Q53" s="106"/>
      <c r="R53" s="106"/>
      <c r="S53" s="107"/>
      <c r="T53" s="37"/>
      <c r="U53" s="38"/>
      <c r="V53" s="38"/>
      <c r="W53" s="38"/>
      <c r="X53" s="38"/>
      <c r="Y53" s="38"/>
      <c r="Z53" s="38"/>
      <c r="AA53" s="38"/>
      <c r="AB53" s="38"/>
      <c r="AC53" s="38"/>
      <c r="AD53" s="38"/>
      <c r="AE53" s="38"/>
      <c r="AF53" s="38"/>
      <c r="AG53" s="38"/>
      <c r="AH53" s="38"/>
      <c r="AI53" s="38"/>
      <c r="AJ53" s="38"/>
      <c r="AK53" s="38"/>
      <c r="AL53" s="39"/>
    </row>
    <row r="54" spans="1:38" ht="12.75">
      <c r="A54" s="105"/>
      <c r="B54" s="106"/>
      <c r="C54" s="106"/>
      <c r="D54" s="106"/>
      <c r="E54" s="106"/>
      <c r="F54" s="106"/>
      <c r="G54" s="106"/>
      <c r="H54" s="106"/>
      <c r="I54" s="106"/>
      <c r="J54" s="106"/>
      <c r="K54" s="106"/>
      <c r="L54" s="106"/>
      <c r="M54" s="106"/>
      <c r="N54" s="106"/>
      <c r="O54" s="106"/>
      <c r="P54" s="106"/>
      <c r="Q54" s="106"/>
      <c r="R54" s="106"/>
      <c r="S54" s="107"/>
      <c r="T54" s="37"/>
      <c r="U54" s="38"/>
      <c r="V54" s="38"/>
      <c r="W54" s="38"/>
      <c r="X54" s="38"/>
      <c r="Y54" s="38"/>
      <c r="Z54" s="38"/>
      <c r="AA54" s="38"/>
      <c r="AB54" s="38"/>
      <c r="AC54" s="38"/>
      <c r="AD54" s="38"/>
      <c r="AE54" s="38"/>
      <c r="AF54" s="38"/>
      <c r="AG54" s="38"/>
      <c r="AH54" s="38"/>
      <c r="AI54" s="38"/>
      <c r="AJ54" s="38"/>
      <c r="AK54" s="38"/>
      <c r="AL54" s="39"/>
    </row>
    <row r="55" spans="1:38" ht="12.75">
      <c r="A55" s="105"/>
      <c r="B55" s="106"/>
      <c r="C55" s="106"/>
      <c r="D55" s="106"/>
      <c r="E55" s="106"/>
      <c r="F55" s="106"/>
      <c r="G55" s="106"/>
      <c r="H55" s="106"/>
      <c r="I55" s="106"/>
      <c r="J55" s="106"/>
      <c r="K55" s="106"/>
      <c r="L55" s="106"/>
      <c r="M55" s="106"/>
      <c r="N55" s="106"/>
      <c r="O55" s="106"/>
      <c r="P55" s="106"/>
      <c r="Q55" s="106"/>
      <c r="R55" s="106"/>
      <c r="S55" s="107"/>
      <c r="T55" s="37"/>
      <c r="U55" s="38"/>
      <c r="V55" s="38"/>
      <c r="W55" s="38"/>
      <c r="X55" s="38"/>
      <c r="Y55" s="38"/>
      <c r="Z55" s="38"/>
      <c r="AA55" s="38"/>
      <c r="AB55" s="38"/>
      <c r="AC55" s="38"/>
      <c r="AD55" s="38"/>
      <c r="AE55" s="38"/>
      <c r="AF55" s="38"/>
      <c r="AG55" s="38"/>
      <c r="AH55" s="38"/>
      <c r="AI55" s="38"/>
      <c r="AJ55" s="38"/>
      <c r="AK55" s="38"/>
      <c r="AL55" s="39"/>
    </row>
    <row r="56" spans="1:38" ht="12.75">
      <c r="A56" s="105"/>
      <c r="B56" s="106"/>
      <c r="C56" s="106"/>
      <c r="D56" s="106"/>
      <c r="E56" s="106"/>
      <c r="F56" s="106"/>
      <c r="G56" s="106"/>
      <c r="H56" s="106"/>
      <c r="I56" s="106"/>
      <c r="J56" s="106"/>
      <c r="K56" s="106"/>
      <c r="L56" s="106"/>
      <c r="M56" s="106"/>
      <c r="N56" s="106"/>
      <c r="O56" s="106"/>
      <c r="P56" s="106"/>
      <c r="Q56" s="106"/>
      <c r="R56" s="106"/>
      <c r="S56" s="107"/>
      <c r="T56" s="37"/>
      <c r="U56" s="38"/>
      <c r="V56" s="38"/>
      <c r="W56" s="38"/>
      <c r="X56" s="38"/>
      <c r="Y56" s="38"/>
      <c r="Z56" s="38"/>
      <c r="AA56" s="38"/>
      <c r="AB56" s="38"/>
      <c r="AC56" s="38"/>
      <c r="AD56" s="38"/>
      <c r="AE56" s="38"/>
      <c r="AF56" s="38"/>
      <c r="AG56" s="38"/>
      <c r="AH56" s="38"/>
      <c r="AI56" s="38"/>
      <c r="AJ56" s="38"/>
      <c r="AK56" s="38"/>
      <c r="AL56" s="39"/>
    </row>
    <row r="57" spans="1:38" ht="12.75">
      <c r="A57" s="105"/>
      <c r="B57" s="106"/>
      <c r="C57" s="106"/>
      <c r="D57" s="106"/>
      <c r="E57" s="106"/>
      <c r="F57" s="106"/>
      <c r="G57" s="106"/>
      <c r="H57" s="106"/>
      <c r="I57" s="106"/>
      <c r="J57" s="106"/>
      <c r="K57" s="106"/>
      <c r="L57" s="106"/>
      <c r="M57" s="106"/>
      <c r="N57" s="106"/>
      <c r="O57" s="106"/>
      <c r="P57" s="106"/>
      <c r="Q57" s="106"/>
      <c r="R57" s="106"/>
      <c r="S57" s="107"/>
      <c r="T57" s="37"/>
      <c r="U57" s="38"/>
      <c r="V57" s="38"/>
      <c r="W57" s="38"/>
      <c r="X57" s="38"/>
      <c r="Y57" s="38"/>
      <c r="Z57" s="38"/>
      <c r="AA57" s="38"/>
      <c r="AB57" s="38"/>
      <c r="AC57" s="38"/>
      <c r="AD57" s="38"/>
      <c r="AE57" s="38"/>
      <c r="AF57" s="38"/>
      <c r="AG57" s="38"/>
      <c r="AH57" s="38"/>
      <c r="AI57" s="38"/>
      <c r="AJ57" s="38"/>
      <c r="AK57" s="38"/>
      <c r="AL57" s="39"/>
    </row>
    <row r="58" spans="1:38" ht="12.75">
      <c r="A58" s="105"/>
      <c r="B58" s="106"/>
      <c r="C58" s="106"/>
      <c r="D58" s="106"/>
      <c r="E58" s="106"/>
      <c r="F58" s="106"/>
      <c r="G58" s="106"/>
      <c r="H58" s="106"/>
      <c r="I58" s="106"/>
      <c r="J58" s="106"/>
      <c r="K58" s="106"/>
      <c r="L58" s="106"/>
      <c r="M58" s="106"/>
      <c r="N58" s="106"/>
      <c r="O58" s="106"/>
      <c r="P58" s="106"/>
      <c r="Q58" s="106"/>
      <c r="R58" s="106"/>
      <c r="S58" s="107"/>
      <c r="T58" s="37"/>
      <c r="U58" s="38"/>
      <c r="V58" s="38"/>
      <c r="W58" s="38"/>
      <c r="X58" s="38"/>
      <c r="Y58" s="38"/>
      <c r="Z58" s="38"/>
      <c r="AA58" s="38"/>
      <c r="AB58" s="38"/>
      <c r="AC58" s="38"/>
      <c r="AD58" s="38"/>
      <c r="AE58" s="38"/>
      <c r="AF58" s="38"/>
      <c r="AG58" s="38"/>
      <c r="AH58" s="38"/>
      <c r="AI58" s="38"/>
      <c r="AJ58" s="38"/>
      <c r="AK58" s="38"/>
      <c r="AL58" s="39"/>
    </row>
    <row r="59" spans="1:38" ht="12.75">
      <c r="A59" s="105"/>
      <c r="B59" s="106"/>
      <c r="C59" s="106"/>
      <c r="D59" s="106"/>
      <c r="E59" s="106"/>
      <c r="F59" s="106"/>
      <c r="G59" s="106"/>
      <c r="H59" s="106"/>
      <c r="I59" s="106"/>
      <c r="J59" s="106"/>
      <c r="K59" s="106"/>
      <c r="L59" s="106"/>
      <c r="M59" s="106"/>
      <c r="N59" s="106"/>
      <c r="O59" s="106"/>
      <c r="P59" s="106"/>
      <c r="Q59" s="106"/>
      <c r="R59" s="106"/>
      <c r="S59" s="107"/>
      <c r="T59" s="37"/>
      <c r="U59" s="38"/>
      <c r="V59" s="38"/>
      <c r="W59" s="38"/>
      <c r="X59" s="38"/>
      <c r="Y59" s="38"/>
      <c r="Z59" s="38"/>
      <c r="AA59" s="38"/>
      <c r="AB59" s="38"/>
      <c r="AC59" s="38"/>
      <c r="AD59" s="38"/>
      <c r="AE59" s="38"/>
      <c r="AF59" s="38"/>
      <c r="AG59" s="38"/>
      <c r="AH59" s="38"/>
      <c r="AI59" s="38"/>
      <c r="AJ59" s="38"/>
      <c r="AK59" s="38"/>
      <c r="AL59" s="39"/>
    </row>
    <row r="60" spans="1:38" ht="12.75">
      <c r="A60" s="105"/>
      <c r="B60" s="106"/>
      <c r="C60" s="106"/>
      <c r="D60" s="106"/>
      <c r="E60" s="106"/>
      <c r="F60" s="106"/>
      <c r="G60" s="106"/>
      <c r="H60" s="106"/>
      <c r="I60" s="106"/>
      <c r="J60" s="106"/>
      <c r="K60" s="106"/>
      <c r="L60" s="106"/>
      <c r="M60" s="106"/>
      <c r="N60" s="106"/>
      <c r="O60" s="106"/>
      <c r="P60" s="106"/>
      <c r="Q60" s="106"/>
      <c r="R60" s="106"/>
      <c r="S60" s="107"/>
      <c r="T60" s="37"/>
      <c r="U60" s="38"/>
      <c r="V60" s="38"/>
      <c r="W60" s="38"/>
      <c r="X60" s="38"/>
      <c r="Y60" s="38"/>
      <c r="Z60" s="38"/>
      <c r="AA60" s="38"/>
      <c r="AB60" s="38"/>
      <c r="AC60" s="38"/>
      <c r="AD60" s="38"/>
      <c r="AE60" s="38"/>
      <c r="AF60" s="38"/>
      <c r="AG60" s="38"/>
      <c r="AH60" s="38"/>
      <c r="AI60" s="38"/>
      <c r="AJ60" s="38"/>
      <c r="AK60" s="38"/>
      <c r="AL60" s="39"/>
    </row>
    <row r="61" spans="1:38" ht="12.75">
      <c r="A61" s="105"/>
      <c r="B61" s="106"/>
      <c r="C61" s="106"/>
      <c r="D61" s="106"/>
      <c r="E61" s="106"/>
      <c r="F61" s="106"/>
      <c r="G61" s="106"/>
      <c r="H61" s="106"/>
      <c r="I61" s="106"/>
      <c r="J61" s="106"/>
      <c r="K61" s="106"/>
      <c r="L61" s="106"/>
      <c r="M61" s="106"/>
      <c r="N61" s="106"/>
      <c r="O61" s="106"/>
      <c r="P61" s="106"/>
      <c r="Q61" s="106"/>
      <c r="R61" s="106"/>
      <c r="S61" s="107"/>
      <c r="T61" s="37"/>
      <c r="U61" s="38"/>
      <c r="V61" s="38"/>
      <c r="W61" s="38"/>
      <c r="X61" s="38"/>
      <c r="Y61" s="38"/>
      <c r="Z61" s="38"/>
      <c r="AA61" s="38"/>
      <c r="AB61" s="38"/>
      <c r="AC61" s="38"/>
      <c r="AD61" s="38"/>
      <c r="AE61" s="38"/>
      <c r="AF61" s="38"/>
      <c r="AG61" s="38"/>
      <c r="AH61" s="38"/>
      <c r="AI61" s="38"/>
      <c r="AJ61" s="38"/>
      <c r="AK61" s="38"/>
      <c r="AL61" s="39"/>
    </row>
    <row r="62" spans="1:38" ht="12.75">
      <c r="A62" s="105"/>
      <c r="B62" s="106"/>
      <c r="C62" s="106"/>
      <c r="D62" s="106"/>
      <c r="E62" s="106"/>
      <c r="F62" s="106"/>
      <c r="G62" s="106"/>
      <c r="H62" s="106"/>
      <c r="I62" s="106"/>
      <c r="J62" s="106"/>
      <c r="K62" s="106"/>
      <c r="L62" s="106"/>
      <c r="M62" s="106"/>
      <c r="N62" s="106"/>
      <c r="O62" s="106"/>
      <c r="P62" s="106"/>
      <c r="Q62" s="106"/>
      <c r="R62" s="106"/>
      <c r="S62" s="107"/>
      <c r="T62" s="37"/>
      <c r="U62" s="38"/>
      <c r="V62" s="38"/>
      <c r="W62" s="38"/>
      <c r="X62" s="38"/>
      <c r="Y62" s="38"/>
      <c r="Z62" s="38"/>
      <c r="AA62" s="38"/>
      <c r="AB62" s="38"/>
      <c r="AC62" s="38"/>
      <c r="AD62" s="38"/>
      <c r="AE62" s="38"/>
      <c r="AF62" s="38"/>
      <c r="AG62" s="38"/>
      <c r="AH62" s="38"/>
      <c r="AI62" s="38"/>
      <c r="AJ62" s="38"/>
      <c r="AK62" s="38"/>
      <c r="AL62" s="39"/>
    </row>
    <row r="63" spans="1:38" ht="12.75">
      <c r="A63" s="108"/>
      <c r="B63" s="109"/>
      <c r="C63" s="109"/>
      <c r="D63" s="109"/>
      <c r="E63" s="109"/>
      <c r="F63" s="109"/>
      <c r="G63" s="109"/>
      <c r="H63" s="109"/>
      <c r="I63" s="109"/>
      <c r="J63" s="109"/>
      <c r="K63" s="109"/>
      <c r="L63" s="109"/>
      <c r="M63" s="109"/>
      <c r="N63" s="109"/>
      <c r="O63" s="109"/>
      <c r="P63" s="109"/>
      <c r="Q63" s="109"/>
      <c r="R63" s="109"/>
      <c r="S63" s="110"/>
      <c r="T63" s="41"/>
      <c r="U63" s="40"/>
      <c r="V63" s="40"/>
      <c r="W63" s="40"/>
      <c r="X63" s="40"/>
      <c r="Y63" s="40"/>
      <c r="Z63" s="40"/>
      <c r="AA63" s="40"/>
      <c r="AB63" s="40"/>
      <c r="AC63" s="40"/>
      <c r="AD63" s="40"/>
      <c r="AE63" s="40"/>
      <c r="AF63" s="40"/>
      <c r="AG63" s="40"/>
      <c r="AH63" s="40"/>
      <c r="AI63" s="40"/>
      <c r="AJ63" s="40"/>
      <c r="AK63" s="40"/>
      <c r="AL63" s="42"/>
    </row>
  </sheetData>
  <sheetProtection password="DCC8" sheet="1"/>
  <mergeCells count="4">
    <mergeCell ref="A1:S1"/>
    <mergeCell ref="D3:J3"/>
    <mergeCell ref="O3:S3"/>
    <mergeCell ref="A5:S6"/>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R53"/>
  <sheetViews>
    <sheetView showGridLines="0" zoomScaleSheetLayoutView="100" zoomScalePageLayoutView="0" workbookViewId="0" topLeftCell="A10">
      <selection activeCell="A2" sqref="A2"/>
    </sheetView>
  </sheetViews>
  <sheetFormatPr defaultColWidth="9.140625" defaultRowHeight="12.75"/>
  <cols>
    <col min="1" max="19" width="5.00390625" style="0" customWidth="1"/>
    <col min="20" max="28" width="3.7109375" style="0" customWidth="1"/>
    <col min="29" max="29" width="5.28125" style="0" customWidth="1"/>
    <col min="30" max="30" width="6.28125" style="0" customWidth="1"/>
    <col min="31" max="32" width="4.28125" style="0" customWidth="1"/>
    <col min="33" max="33" width="5.28125" style="0" customWidth="1"/>
    <col min="34" max="34" width="6.28125" style="0" customWidth="1"/>
    <col min="35" max="36" width="4.28125" style="0" customWidth="1"/>
    <col min="37" max="37" width="5.28125" style="0" customWidth="1"/>
    <col min="38" max="38" width="6.28125" style="0" customWidth="1"/>
    <col min="39" max="40" width="4.28125" style="0" customWidth="1"/>
    <col min="41" max="41" width="5.28125" style="0" customWidth="1"/>
    <col min="42" max="44" width="4.28125" style="0" customWidth="1"/>
  </cols>
  <sheetData>
    <row r="1" spans="1:21" ht="12.75">
      <c r="A1" s="214" t="s">
        <v>214</v>
      </c>
      <c r="B1" s="214"/>
      <c r="C1" s="214"/>
      <c r="D1" s="214"/>
      <c r="E1" s="214"/>
      <c r="F1" s="214"/>
      <c r="G1" s="214"/>
      <c r="H1" s="214"/>
      <c r="I1" s="214"/>
      <c r="J1" s="214"/>
      <c r="K1" s="214"/>
      <c r="L1" s="214"/>
      <c r="M1" s="214"/>
      <c r="N1" s="214"/>
      <c r="O1" s="214"/>
      <c r="P1" s="214"/>
      <c r="Q1" s="214"/>
      <c r="R1" s="214"/>
      <c r="S1" s="214"/>
      <c r="T1" s="5"/>
      <c r="U1" s="23"/>
    </row>
    <row r="2" spans="1:21" ht="12.75">
      <c r="A2" s="5"/>
      <c r="B2" s="5"/>
      <c r="C2" s="5"/>
      <c r="D2" s="5"/>
      <c r="E2" s="5"/>
      <c r="F2" s="5"/>
      <c r="G2" s="5"/>
      <c r="H2" s="5"/>
      <c r="I2" s="5"/>
      <c r="J2" s="5"/>
      <c r="T2" s="5"/>
      <c r="U2" s="23"/>
    </row>
    <row r="3" spans="1:21" ht="12.75" customHeight="1">
      <c r="A3" s="216" t="s">
        <v>195</v>
      </c>
      <c r="B3" s="216"/>
      <c r="C3" s="216"/>
      <c r="D3" s="216"/>
      <c r="E3" s="216"/>
      <c r="F3" s="216"/>
      <c r="G3" s="216"/>
      <c r="H3" s="216"/>
      <c r="I3" s="216"/>
      <c r="J3" s="216"/>
      <c r="K3" s="216"/>
      <c r="L3" s="216"/>
      <c r="M3" s="216"/>
      <c r="N3" s="216"/>
      <c r="O3" s="216"/>
      <c r="P3" s="216"/>
      <c r="Q3" s="216"/>
      <c r="R3" s="216"/>
      <c r="S3" s="216"/>
      <c r="T3" s="5"/>
      <c r="U3" s="23"/>
    </row>
    <row r="4" spans="1:21" ht="12.75">
      <c r="A4" s="216"/>
      <c r="B4" s="216"/>
      <c r="C4" s="216"/>
      <c r="D4" s="216"/>
      <c r="E4" s="216"/>
      <c r="F4" s="216"/>
      <c r="G4" s="216"/>
      <c r="H4" s="216"/>
      <c r="I4" s="216"/>
      <c r="J4" s="216"/>
      <c r="K4" s="216"/>
      <c r="L4" s="216"/>
      <c r="M4" s="216"/>
      <c r="N4" s="216"/>
      <c r="O4" s="216"/>
      <c r="P4" s="216"/>
      <c r="Q4" s="216"/>
      <c r="R4" s="216"/>
      <c r="S4" s="216"/>
      <c r="T4" s="5"/>
      <c r="U4" s="23"/>
    </row>
    <row r="5" spans="1:21" ht="12.75">
      <c r="A5" s="216"/>
      <c r="B5" s="216"/>
      <c r="C5" s="216"/>
      <c r="D5" s="216"/>
      <c r="E5" s="216"/>
      <c r="F5" s="216"/>
      <c r="G5" s="216"/>
      <c r="H5" s="216"/>
      <c r="I5" s="216"/>
      <c r="J5" s="216"/>
      <c r="K5" s="216"/>
      <c r="L5" s="216"/>
      <c r="M5" s="216"/>
      <c r="N5" s="216"/>
      <c r="O5" s="216"/>
      <c r="P5" s="216"/>
      <c r="Q5" s="216"/>
      <c r="R5" s="216"/>
      <c r="S5" s="216"/>
      <c r="T5" s="5"/>
      <c r="U5" s="23"/>
    </row>
    <row r="6" spans="1:21" ht="12.75">
      <c r="A6" s="216"/>
      <c r="B6" s="216"/>
      <c r="C6" s="216"/>
      <c r="D6" s="216"/>
      <c r="E6" s="216"/>
      <c r="F6" s="216"/>
      <c r="G6" s="216"/>
      <c r="H6" s="216"/>
      <c r="I6" s="216"/>
      <c r="J6" s="216"/>
      <c r="K6" s="216"/>
      <c r="L6" s="216"/>
      <c r="M6" s="216"/>
      <c r="N6" s="216"/>
      <c r="O6" s="216"/>
      <c r="P6" s="216"/>
      <c r="Q6" s="216"/>
      <c r="R6" s="216"/>
      <c r="S6" s="216"/>
      <c r="T6" s="5"/>
      <c r="U6" s="23"/>
    </row>
    <row r="7" spans="1:21" ht="12.75">
      <c r="A7" s="216"/>
      <c r="B7" s="216"/>
      <c r="C7" s="216"/>
      <c r="D7" s="216"/>
      <c r="E7" s="216"/>
      <c r="F7" s="216"/>
      <c r="G7" s="216"/>
      <c r="H7" s="216"/>
      <c r="I7" s="216"/>
      <c r="J7" s="216"/>
      <c r="K7" s="216"/>
      <c r="L7" s="216"/>
      <c r="M7" s="216"/>
      <c r="N7" s="216"/>
      <c r="O7" s="216"/>
      <c r="P7" s="216"/>
      <c r="Q7" s="216"/>
      <c r="R7" s="216"/>
      <c r="S7" s="216"/>
      <c r="T7" s="5"/>
      <c r="U7" s="23"/>
    </row>
    <row r="8" spans="1:21" ht="12.75">
      <c r="A8" s="216"/>
      <c r="B8" s="216"/>
      <c r="C8" s="216"/>
      <c r="D8" s="216"/>
      <c r="E8" s="216"/>
      <c r="F8" s="216"/>
      <c r="G8" s="216"/>
      <c r="H8" s="216"/>
      <c r="I8" s="216"/>
      <c r="J8" s="216"/>
      <c r="K8" s="216"/>
      <c r="L8" s="216"/>
      <c r="M8" s="216"/>
      <c r="N8" s="216"/>
      <c r="O8" s="216"/>
      <c r="P8" s="216"/>
      <c r="Q8" s="216"/>
      <c r="R8" s="216"/>
      <c r="S8" s="216"/>
      <c r="T8" s="5"/>
      <c r="U8" s="23"/>
    </row>
    <row r="9" spans="1:21" ht="12.75">
      <c r="A9" s="216"/>
      <c r="B9" s="216"/>
      <c r="C9" s="216"/>
      <c r="D9" s="216"/>
      <c r="E9" s="216"/>
      <c r="F9" s="216"/>
      <c r="G9" s="216"/>
      <c r="H9" s="216"/>
      <c r="I9" s="216"/>
      <c r="J9" s="216"/>
      <c r="K9" s="216"/>
      <c r="L9" s="216"/>
      <c r="M9" s="216"/>
      <c r="N9" s="216"/>
      <c r="O9" s="216"/>
      <c r="P9" s="216"/>
      <c r="Q9" s="216"/>
      <c r="R9" s="216"/>
      <c r="S9" s="216"/>
      <c r="T9" s="5"/>
      <c r="U9" s="23"/>
    </row>
    <row r="10" spans="20:21" ht="12.75">
      <c r="T10" s="5"/>
      <c r="U10" s="23"/>
    </row>
    <row r="11" spans="1:21" ht="12.75" customHeight="1">
      <c r="A11" s="217" t="s">
        <v>201</v>
      </c>
      <c r="B11" s="217"/>
      <c r="C11" s="217"/>
      <c r="D11" s="217"/>
      <c r="E11" s="217"/>
      <c r="F11" s="217"/>
      <c r="G11" s="217"/>
      <c r="H11" s="217"/>
      <c r="I11" s="217"/>
      <c r="J11" s="217"/>
      <c r="K11" s="217"/>
      <c r="L11" s="217"/>
      <c r="M11" s="217"/>
      <c r="N11" s="217"/>
      <c r="O11" s="217"/>
      <c r="P11" s="217"/>
      <c r="Q11" s="217"/>
      <c r="R11" s="217"/>
      <c r="S11" s="217"/>
      <c r="T11" s="5"/>
      <c r="U11" s="23"/>
    </row>
    <row r="12" spans="1:21" ht="12.75" customHeight="1">
      <c r="A12" s="217"/>
      <c r="B12" s="217"/>
      <c r="C12" s="217"/>
      <c r="D12" s="217"/>
      <c r="E12" s="217"/>
      <c r="F12" s="217"/>
      <c r="G12" s="217"/>
      <c r="H12" s="217"/>
      <c r="I12" s="217"/>
      <c r="J12" s="217"/>
      <c r="K12" s="217"/>
      <c r="L12" s="217"/>
      <c r="M12" s="217"/>
      <c r="N12" s="217"/>
      <c r="O12" s="217"/>
      <c r="P12" s="217"/>
      <c r="Q12" s="217"/>
      <c r="R12" s="217"/>
      <c r="S12" s="217"/>
      <c r="T12" s="5"/>
      <c r="U12" s="23"/>
    </row>
    <row r="13" spans="20:21" ht="12.75">
      <c r="T13" s="5"/>
      <c r="U13" s="23"/>
    </row>
    <row r="14" spans="1:21" ht="12.75">
      <c r="A14" s="179" t="s">
        <v>203</v>
      </c>
      <c r="B14" s="2"/>
      <c r="C14" s="6"/>
      <c r="D14" s="215"/>
      <c r="E14" s="187"/>
      <c r="F14" s="187"/>
      <c r="G14" s="187"/>
      <c r="H14" s="187"/>
      <c r="I14" s="187"/>
      <c r="J14" s="188"/>
      <c r="K14" s="179" t="s">
        <v>202</v>
      </c>
      <c r="N14" s="186"/>
      <c r="O14" s="187"/>
      <c r="P14" s="187"/>
      <c r="Q14" s="187"/>
      <c r="R14" s="187"/>
      <c r="S14" s="188"/>
      <c r="T14" s="5"/>
      <c r="U14" s="23"/>
    </row>
    <row r="15" spans="1:21" ht="12.75">
      <c r="A15" s="2" t="s">
        <v>51</v>
      </c>
      <c r="B15" s="2"/>
      <c r="C15" s="6"/>
      <c r="D15" s="186"/>
      <c r="E15" s="187"/>
      <c r="F15" s="187"/>
      <c r="G15" s="187"/>
      <c r="H15" s="187"/>
      <c r="I15" s="187"/>
      <c r="J15" s="188"/>
      <c r="K15" t="s">
        <v>52</v>
      </c>
      <c r="N15" s="186"/>
      <c r="O15" s="187"/>
      <c r="P15" s="187"/>
      <c r="Q15" s="187"/>
      <c r="R15" s="187"/>
      <c r="S15" s="188"/>
      <c r="T15" s="5"/>
      <c r="U15" s="23"/>
    </row>
    <row r="16" spans="1:21" ht="12.75">
      <c r="A16" s="2" t="s">
        <v>53</v>
      </c>
      <c r="B16" s="2"/>
      <c r="C16" s="6"/>
      <c r="D16" s="186"/>
      <c r="E16" s="187"/>
      <c r="F16" s="187"/>
      <c r="G16" s="187"/>
      <c r="H16" s="187"/>
      <c r="I16" s="187"/>
      <c r="J16" s="188"/>
      <c r="K16" t="s">
        <v>52</v>
      </c>
      <c r="N16" s="186"/>
      <c r="O16" s="187"/>
      <c r="P16" s="187"/>
      <c r="Q16" s="187"/>
      <c r="R16" s="187"/>
      <c r="S16" s="188"/>
      <c r="T16" s="5"/>
      <c r="U16" s="23"/>
    </row>
    <row r="17" spans="20:44" ht="12.75">
      <c r="T17" s="234" t="s">
        <v>102</v>
      </c>
      <c r="U17" s="235"/>
      <c r="V17" s="235"/>
      <c r="W17" s="235"/>
      <c r="X17" s="235"/>
      <c r="Y17" s="235"/>
      <c r="Z17" s="235"/>
      <c r="AA17" s="235"/>
      <c r="AB17" s="236"/>
      <c r="AC17" s="250" t="s">
        <v>89</v>
      </c>
      <c r="AD17" s="250"/>
      <c r="AE17" s="250"/>
      <c r="AF17" s="250"/>
      <c r="AG17" s="250" t="s">
        <v>93</v>
      </c>
      <c r="AH17" s="250"/>
      <c r="AI17" s="250"/>
      <c r="AJ17" s="250"/>
      <c r="AK17" s="250" t="s">
        <v>94</v>
      </c>
      <c r="AL17" s="250"/>
      <c r="AM17" s="250"/>
      <c r="AN17" s="250"/>
      <c r="AO17" s="250" t="s">
        <v>95</v>
      </c>
      <c r="AP17" s="250"/>
      <c r="AQ17" s="250"/>
      <c r="AR17" s="250"/>
    </row>
    <row r="18" spans="1:44" ht="12.75">
      <c r="A18" s="7" t="s">
        <v>54</v>
      </c>
      <c r="B18" s="8"/>
      <c r="C18" s="8"/>
      <c r="D18" s="8"/>
      <c r="E18" s="8"/>
      <c r="F18" s="8"/>
      <c r="G18" s="8"/>
      <c r="H18" s="8"/>
      <c r="I18" s="8"/>
      <c r="J18" s="8"/>
      <c r="K18" s="8"/>
      <c r="L18" s="8"/>
      <c r="M18" s="8"/>
      <c r="N18" s="8"/>
      <c r="O18" s="8"/>
      <c r="P18" s="8"/>
      <c r="Q18" s="8"/>
      <c r="R18" s="8"/>
      <c r="S18" s="16"/>
      <c r="T18" s="232" t="s">
        <v>0</v>
      </c>
      <c r="U18" s="232" t="s">
        <v>80</v>
      </c>
      <c r="V18" s="232" t="s">
        <v>81</v>
      </c>
      <c r="W18" s="232" t="s">
        <v>82</v>
      </c>
      <c r="X18" s="232" t="s">
        <v>83</v>
      </c>
      <c r="Y18" s="232" t="s">
        <v>84</v>
      </c>
      <c r="Z18" s="231" t="s">
        <v>85</v>
      </c>
      <c r="AA18" s="231" t="s">
        <v>86</v>
      </c>
      <c r="AB18" s="231" t="s">
        <v>87</v>
      </c>
      <c r="AC18" s="247" t="s">
        <v>90</v>
      </c>
      <c r="AD18" s="247" t="s">
        <v>88</v>
      </c>
      <c r="AE18" s="247" t="s">
        <v>91</v>
      </c>
      <c r="AF18" s="247" t="s">
        <v>92</v>
      </c>
      <c r="AG18" s="247" t="s">
        <v>90</v>
      </c>
      <c r="AH18" s="247" t="s">
        <v>88</v>
      </c>
      <c r="AI18" s="251" t="s">
        <v>91</v>
      </c>
      <c r="AJ18" s="247" t="s">
        <v>92</v>
      </c>
      <c r="AK18" s="247" t="s">
        <v>90</v>
      </c>
      <c r="AL18" s="247" t="s">
        <v>88</v>
      </c>
      <c r="AM18" s="251" t="s">
        <v>91</v>
      </c>
      <c r="AN18" s="247" t="s">
        <v>92</v>
      </c>
      <c r="AO18" s="247" t="s">
        <v>96</v>
      </c>
      <c r="AP18" s="247" t="s">
        <v>97</v>
      </c>
      <c r="AQ18" s="247" t="s">
        <v>98</v>
      </c>
      <c r="AR18" s="247" t="s">
        <v>99</v>
      </c>
    </row>
    <row r="19" spans="1:44" ht="12.75">
      <c r="A19" s="199" t="str">
        <f>IF(COUNTIF(A24:B33,"NO")&gt;0,"Yes. Chassis deviates from baseline requirements","No. Chassis does not deviate from baseline requirements")</f>
        <v>Yes. Chassis deviates from baseline requirements</v>
      </c>
      <c r="B19" s="200"/>
      <c r="C19" s="200"/>
      <c r="D19" s="200"/>
      <c r="E19" s="200"/>
      <c r="F19" s="200"/>
      <c r="G19" s="200"/>
      <c r="H19" s="200"/>
      <c r="I19" s="200"/>
      <c r="J19" s="200"/>
      <c r="K19" s="200"/>
      <c r="L19" s="200"/>
      <c r="M19" s="200"/>
      <c r="N19" s="200"/>
      <c r="O19" s="200"/>
      <c r="P19" s="200"/>
      <c r="Q19" s="200"/>
      <c r="R19" s="200"/>
      <c r="S19" s="201"/>
      <c r="T19" s="232"/>
      <c r="U19" s="232"/>
      <c r="V19" s="232"/>
      <c r="W19" s="232"/>
      <c r="X19" s="232"/>
      <c r="Y19" s="232"/>
      <c r="Z19" s="231"/>
      <c r="AA19" s="231"/>
      <c r="AB19" s="231"/>
      <c r="AC19" s="248"/>
      <c r="AD19" s="248"/>
      <c r="AE19" s="248"/>
      <c r="AF19" s="248"/>
      <c r="AG19" s="248"/>
      <c r="AH19" s="248"/>
      <c r="AI19" s="252"/>
      <c r="AJ19" s="248"/>
      <c r="AK19" s="248"/>
      <c r="AL19" s="248"/>
      <c r="AM19" s="252"/>
      <c r="AN19" s="248"/>
      <c r="AO19" s="248"/>
      <c r="AP19" s="248"/>
      <c r="AQ19" s="248"/>
      <c r="AR19" s="248"/>
    </row>
    <row r="20" spans="20:44" ht="12.75">
      <c r="T20" s="232"/>
      <c r="U20" s="232"/>
      <c r="V20" s="232"/>
      <c r="W20" s="232"/>
      <c r="X20" s="232"/>
      <c r="Y20" s="232"/>
      <c r="Z20" s="231"/>
      <c r="AA20" s="231"/>
      <c r="AB20" s="231"/>
      <c r="AC20" s="248"/>
      <c r="AD20" s="248"/>
      <c r="AE20" s="248"/>
      <c r="AF20" s="248"/>
      <c r="AG20" s="248"/>
      <c r="AH20" s="248"/>
      <c r="AI20" s="252"/>
      <c r="AJ20" s="248"/>
      <c r="AK20" s="248"/>
      <c r="AL20" s="248"/>
      <c r="AM20" s="252"/>
      <c r="AN20" s="248"/>
      <c r="AO20" s="248"/>
      <c r="AP20" s="248"/>
      <c r="AQ20" s="248"/>
      <c r="AR20" s="248"/>
    </row>
    <row r="21" spans="1:44" ht="12.75" customHeight="1">
      <c r="A21" s="202" t="s">
        <v>55</v>
      </c>
      <c r="B21" s="203"/>
      <c r="C21" s="202" t="s">
        <v>56</v>
      </c>
      <c r="D21" s="222"/>
      <c r="E21" s="208" t="s">
        <v>57</v>
      </c>
      <c r="F21" s="209"/>
      <c r="G21" s="227" t="s">
        <v>58</v>
      </c>
      <c r="H21" s="227"/>
      <c r="I21" s="227"/>
      <c r="J21" s="227"/>
      <c r="K21" s="227"/>
      <c r="L21" s="227"/>
      <c r="M21" s="227"/>
      <c r="N21" s="227"/>
      <c r="O21" s="208" t="s">
        <v>59</v>
      </c>
      <c r="P21" s="254"/>
      <c r="Q21" s="254"/>
      <c r="R21" s="254"/>
      <c r="S21" s="254"/>
      <c r="T21" s="232"/>
      <c r="U21" s="232"/>
      <c r="V21" s="232"/>
      <c r="W21" s="232"/>
      <c r="X21" s="232"/>
      <c r="Y21" s="232"/>
      <c r="Z21" s="231"/>
      <c r="AA21" s="231"/>
      <c r="AB21" s="231"/>
      <c r="AC21" s="248"/>
      <c r="AD21" s="248"/>
      <c r="AE21" s="248"/>
      <c r="AF21" s="248"/>
      <c r="AG21" s="248"/>
      <c r="AH21" s="248"/>
      <c r="AI21" s="252"/>
      <c r="AJ21" s="248"/>
      <c r="AK21" s="248"/>
      <c r="AL21" s="248"/>
      <c r="AM21" s="252"/>
      <c r="AN21" s="248"/>
      <c r="AO21" s="248"/>
      <c r="AP21" s="248"/>
      <c r="AQ21" s="248"/>
      <c r="AR21" s="248"/>
    </row>
    <row r="22" spans="1:44" ht="12.75" customHeight="1">
      <c r="A22" s="204"/>
      <c r="B22" s="205"/>
      <c r="C22" s="223"/>
      <c r="D22" s="224"/>
      <c r="E22" s="210"/>
      <c r="F22" s="211"/>
      <c r="G22" s="227"/>
      <c r="H22" s="227"/>
      <c r="I22" s="227"/>
      <c r="J22" s="227"/>
      <c r="K22" s="227"/>
      <c r="L22" s="227"/>
      <c r="M22" s="227"/>
      <c r="N22" s="227"/>
      <c r="O22" s="210"/>
      <c r="P22" s="255"/>
      <c r="Q22" s="255"/>
      <c r="R22" s="255"/>
      <c r="S22" s="255"/>
      <c r="T22" s="232"/>
      <c r="U22" s="232"/>
      <c r="V22" s="232"/>
      <c r="W22" s="232"/>
      <c r="X22" s="232"/>
      <c r="Y22" s="232"/>
      <c r="Z22" s="231"/>
      <c r="AA22" s="231"/>
      <c r="AB22" s="231"/>
      <c r="AC22" s="248"/>
      <c r="AD22" s="248"/>
      <c r="AE22" s="248"/>
      <c r="AF22" s="248"/>
      <c r="AG22" s="248"/>
      <c r="AH22" s="248"/>
      <c r="AI22" s="252"/>
      <c r="AJ22" s="248"/>
      <c r="AK22" s="248"/>
      <c r="AL22" s="248"/>
      <c r="AM22" s="252"/>
      <c r="AN22" s="248"/>
      <c r="AO22" s="248"/>
      <c r="AP22" s="248"/>
      <c r="AQ22" s="248"/>
      <c r="AR22" s="248"/>
    </row>
    <row r="23" spans="1:44" ht="12.75">
      <c r="A23" s="206"/>
      <c r="B23" s="207"/>
      <c r="C23" s="225"/>
      <c r="D23" s="226"/>
      <c r="E23" s="212"/>
      <c r="F23" s="213"/>
      <c r="G23" s="227"/>
      <c r="H23" s="227"/>
      <c r="I23" s="227"/>
      <c r="J23" s="227"/>
      <c r="K23" s="227"/>
      <c r="L23" s="227"/>
      <c r="M23" s="227"/>
      <c r="N23" s="227"/>
      <c r="O23" s="212"/>
      <c r="P23" s="256"/>
      <c r="Q23" s="256"/>
      <c r="R23" s="256"/>
      <c r="S23" s="256"/>
      <c r="T23" s="232"/>
      <c r="U23" s="232"/>
      <c r="V23" s="232"/>
      <c r="W23" s="232"/>
      <c r="X23" s="232"/>
      <c r="Y23" s="232"/>
      <c r="Z23" s="231"/>
      <c r="AA23" s="231"/>
      <c r="AB23" s="231"/>
      <c r="AC23" s="249"/>
      <c r="AD23" s="249"/>
      <c r="AE23" s="249"/>
      <c r="AF23" s="249"/>
      <c r="AG23" s="249"/>
      <c r="AH23" s="249"/>
      <c r="AI23" s="253"/>
      <c r="AJ23" s="249"/>
      <c r="AK23" s="249"/>
      <c r="AL23" s="249"/>
      <c r="AM23" s="253"/>
      <c r="AN23" s="249"/>
      <c r="AO23" s="249"/>
      <c r="AP23" s="249"/>
      <c r="AQ23" s="249"/>
      <c r="AR23" s="249"/>
    </row>
    <row r="24" spans="1:44" ht="12.75" customHeight="1">
      <c r="A24" s="196" t="str">
        <f>IF(AND('T3.11 Main Hoop Tubing'!D13&gt;='T3.11 Main Hoop Tubing'!C13,'T3.11 Main Hoop Tubing'!D14&gt;='T3.11 Main Hoop Tubing'!C14),"YES","NO")</f>
        <v>NO</v>
      </c>
      <c r="B24" s="197"/>
      <c r="C24" s="196" t="str">
        <f aca="true" t="shared" si="0" ref="C24:C31">IF(A24="N/A","N/A",IF(A24="YES","NO","YES"))</f>
        <v>YES</v>
      </c>
      <c r="D24" s="197"/>
      <c r="E24" s="194" t="s">
        <v>139</v>
      </c>
      <c r="F24" s="194"/>
      <c r="G24" s="198" t="s">
        <v>60</v>
      </c>
      <c r="H24" s="198"/>
      <c r="I24" s="198"/>
      <c r="J24" s="198"/>
      <c r="K24" s="198"/>
      <c r="L24" s="198"/>
      <c r="M24" s="198"/>
      <c r="N24" s="198"/>
      <c r="O24" s="191"/>
      <c r="P24" s="191"/>
      <c r="Q24" s="191"/>
      <c r="R24" s="191"/>
      <c r="S24" s="191"/>
      <c r="T24" s="18">
        <f>IF(A24="no",'T3.11 Main Hoop Tubing'!E20,"NA")</f>
        <v>0</v>
      </c>
      <c r="U24" s="18">
        <f>IF(A24="no",'T3.11 Main Hoop Tubing'!E21,"NA")</f>
        <v>0</v>
      </c>
      <c r="V24" s="18">
        <f>IF(A24="no",'T3.11 Main Hoop Tubing'!E22,"NA")</f>
        <v>0</v>
      </c>
      <c r="W24" s="18">
        <f>IF(A24="no",'T3.11 Main Hoop Tubing'!E23,"NA")</f>
        <v>0</v>
      </c>
      <c r="X24" s="18">
        <f>IF(A24="no",'T3.11 Main Hoop Tubing'!E24,"NA")</f>
        <v>0</v>
      </c>
      <c r="Y24" s="18">
        <f>IF(A24="no",'T3.11 Main Hoop Tubing'!E25,"NA")</f>
        <v>0</v>
      </c>
      <c r="Z24" s="18" t="e">
        <f>IF(A24="no",'T3.11 Main Hoop Tubing'!E26,"NA")</f>
        <v>#DIV/0!</v>
      </c>
      <c r="AA24" s="17" t="e">
        <f>IF(A24="no",'T3.11 Main Hoop Tubing'!E27,"NA")</f>
        <v>#DIV/0!</v>
      </c>
      <c r="AB24" s="18" t="e">
        <f>IF(A24="no",'T3.11 Main Hoop Tubing'!E28,"NA")</f>
        <v>#DIV/0!</v>
      </c>
      <c r="AC24" s="24" t="str">
        <f>'T3.11 Main Hoop Tubing'!D4</f>
        <v>Steel</v>
      </c>
      <c r="AD24" s="1" t="str">
        <f>'T3.11 Main Hoop Tubing'!D5</f>
        <v>Round</v>
      </c>
      <c r="AE24" s="3">
        <f>'T3.11 Main Hoop Tubing'!D13</f>
        <v>0</v>
      </c>
      <c r="AF24" s="15">
        <f>'T3.11 Main Hoop Tubing'!D14</f>
        <v>0</v>
      </c>
      <c r="AG24" s="19"/>
      <c r="AH24" s="19"/>
      <c r="AI24" s="20"/>
      <c r="AJ24" s="21"/>
      <c r="AK24" s="19"/>
      <c r="AL24" s="19"/>
      <c r="AM24" s="20"/>
      <c r="AN24" s="21"/>
      <c r="AO24" s="19"/>
      <c r="AP24" s="19"/>
      <c r="AQ24" s="20"/>
      <c r="AR24" s="21"/>
    </row>
    <row r="25" spans="1:44" ht="12.75" customHeight="1">
      <c r="A25" s="196" t="str">
        <f>IF(AND('T3.12 Front Hoop Tubing'!D4='T3.12 Front Hoop Tubing'!C4,'T3.12 Front Hoop Tubing'!D5='T3.12 Front Hoop Tubing'!C5,'T3.12 Front Hoop Tubing'!D13&gt;='T3.12 Front Hoop Tubing'!C13,'T3.12 Front Hoop Tubing'!D14&gt;='T3.12 Front Hoop Tubing'!C14),"YES","NO")</f>
        <v>NO</v>
      </c>
      <c r="B25" s="197"/>
      <c r="C25" s="196" t="str">
        <f t="shared" si="0"/>
        <v>YES</v>
      </c>
      <c r="D25" s="197"/>
      <c r="E25" s="194" t="s">
        <v>140</v>
      </c>
      <c r="F25" s="194"/>
      <c r="G25" s="195" t="s">
        <v>61</v>
      </c>
      <c r="H25" s="195"/>
      <c r="I25" s="195"/>
      <c r="J25" s="195"/>
      <c r="K25" s="195"/>
      <c r="L25" s="195"/>
      <c r="M25" s="195"/>
      <c r="N25" s="195"/>
      <c r="O25" s="191"/>
      <c r="P25" s="191"/>
      <c r="Q25" s="191"/>
      <c r="R25" s="191"/>
      <c r="S25" s="191"/>
      <c r="T25" s="18">
        <f>IF(A25="no",'T3.12 Front Hoop Tubing'!E20,"NA")</f>
        <v>0</v>
      </c>
      <c r="U25" s="18">
        <f>IF(A25="no",'T3.12 Front Hoop Tubing'!E21,"NA")</f>
        <v>0</v>
      </c>
      <c r="V25" s="18">
        <f>IF(A25="no",'T3.12 Front Hoop Tubing'!E22,"NA")</f>
        <v>0</v>
      </c>
      <c r="W25" s="18">
        <f>IF(A25="no",'T3.12 Front Hoop Tubing'!E23,"NA")</f>
        <v>0</v>
      </c>
      <c r="X25" s="18">
        <f>IF(A25="no",'T3.12 Front Hoop Tubing'!E24,"NA")</f>
        <v>0</v>
      </c>
      <c r="Y25" s="18">
        <f>IF(A25="no",'T3.12 Front Hoop Tubing'!E25,"NA")</f>
        <v>0</v>
      </c>
      <c r="Z25" s="18" t="e">
        <f>IF(A25="no",'T3.12 Front Hoop Tubing'!E26,"NA")</f>
        <v>#DIV/0!</v>
      </c>
      <c r="AA25" s="17" t="e">
        <f>IF(A25="no",'T3.12 Front Hoop Tubing'!E27,"NA")</f>
        <v>#DIV/0!</v>
      </c>
      <c r="AB25" s="18" t="e">
        <f>IF(A25="no",'T3.12 Front Hoop Tubing'!E28,"NA")</f>
        <v>#DIV/0!</v>
      </c>
      <c r="AC25" s="1" t="str">
        <f>'T3.12 Front Hoop Tubing'!D4</f>
        <v>Steel</v>
      </c>
      <c r="AD25" s="1" t="str">
        <f>'T3.12 Front Hoop Tubing'!D5</f>
        <v>Round</v>
      </c>
      <c r="AE25" s="3">
        <f>'T3.12 Front Hoop Tubing'!D13</f>
        <v>0</v>
      </c>
      <c r="AF25" s="15">
        <f>'T3.12 Front Hoop Tubing'!D14</f>
        <v>0</v>
      </c>
      <c r="AG25" s="19"/>
      <c r="AH25" s="19"/>
      <c r="AI25" s="20"/>
      <c r="AJ25" s="21"/>
      <c r="AK25" s="19"/>
      <c r="AL25" s="19"/>
      <c r="AM25" s="20"/>
      <c r="AN25" s="21"/>
      <c r="AO25" s="19"/>
      <c r="AP25" s="19"/>
      <c r="AQ25" s="20"/>
      <c r="AR25" s="21"/>
    </row>
    <row r="26" spans="1:44" ht="12.75" customHeight="1">
      <c r="A26" s="196" t="str">
        <f>IF(AND('T3.13 Main Hoop Bracing'!D13&gt;='T3.13 Main Hoop Bracing'!C13,'T3.13 Main Hoop Bracing'!D14&gt;='T3.13 Main Hoop Bracing'!C14,'T3.13 Main Hoop Bracing'!D5='T3.13 Main Hoop Bracing'!C5),"YES","NO")</f>
        <v>NO</v>
      </c>
      <c r="B26" s="197"/>
      <c r="C26" s="196" t="str">
        <f t="shared" si="0"/>
        <v>YES</v>
      </c>
      <c r="D26" s="197"/>
      <c r="E26" s="194" t="s">
        <v>141</v>
      </c>
      <c r="F26" s="194"/>
      <c r="G26" s="195" t="s">
        <v>62</v>
      </c>
      <c r="H26" s="195"/>
      <c r="I26" s="195"/>
      <c r="J26" s="195"/>
      <c r="K26" s="195"/>
      <c r="L26" s="195"/>
      <c r="M26" s="195"/>
      <c r="N26" s="195"/>
      <c r="O26" s="191"/>
      <c r="P26" s="191"/>
      <c r="Q26" s="191"/>
      <c r="R26" s="191"/>
      <c r="S26" s="191"/>
      <c r="T26" s="18" t="e">
        <f>IF(A26="NO",'T3.13 Main Hoop Bracing'!E20,"NA")</f>
        <v>#VALUE!</v>
      </c>
      <c r="U26" s="18" t="e">
        <f>IF(A26="NO",'T3.13 Main Hoop Bracing'!E21,"NA")</f>
        <v>#VALUE!</v>
      </c>
      <c r="V26" s="18" t="e">
        <f>IF(A26="NO",'T3.13 Main Hoop Bracing'!E22,"NA")</f>
        <v>#VALUE!</v>
      </c>
      <c r="W26" s="18" t="e">
        <f>IF(A26="NO",'T3.13 Main Hoop Bracing'!E23,"NA")</f>
        <v>#VALUE!</v>
      </c>
      <c r="X26" s="18" t="e">
        <f>IF(A26="NO",'T3.13 Main Hoop Bracing'!E24,"NA")</f>
        <v>#VALUE!</v>
      </c>
      <c r="Y26" s="18" t="e">
        <f>IF(A26="NO",'T3.13 Main Hoop Bracing'!E25,"NA")</f>
        <v>#VALUE!</v>
      </c>
      <c r="Z26" s="18" t="e">
        <f>IF(A26="NO",'T3.13 Main Hoop Bracing'!E26,"NA")</f>
        <v>#VALUE!</v>
      </c>
      <c r="AA26" s="17" t="e">
        <f>IF(A26="NO",'T3.13 Main Hoop Bracing'!E27,"NA")</f>
        <v>#VALUE!</v>
      </c>
      <c r="AB26" s="18" t="e">
        <f>IF(A26="NO",'T3.13 Main Hoop Bracing'!E28,"NA")</f>
        <v>#VALUE!</v>
      </c>
      <c r="AC26" s="1" t="str">
        <f>'T3.13 Main Hoop Bracing'!D4</f>
        <v>Steel</v>
      </c>
      <c r="AD26" s="1">
        <f>'T3.13 Main Hoop Bracing'!D5</f>
        <v>0</v>
      </c>
      <c r="AE26" s="3">
        <f>'T3.13 Main Hoop Bracing'!D13</f>
        <v>0</v>
      </c>
      <c r="AF26" s="15">
        <f>'T3.13 Main Hoop Bracing'!D14</f>
        <v>0</v>
      </c>
      <c r="AG26" s="19"/>
      <c r="AH26" s="19"/>
      <c r="AI26" s="19"/>
      <c r="AJ26" s="19"/>
      <c r="AK26" s="19"/>
      <c r="AL26" s="19"/>
      <c r="AM26" s="19"/>
      <c r="AN26" s="19"/>
      <c r="AO26" s="19"/>
      <c r="AP26" s="19"/>
      <c r="AQ26" s="19"/>
      <c r="AR26" s="19"/>
    </row>
    <row r="27" spans="1:44" ht="12.75" customHeight="1">
      <c r="A27" s="196" t="str">
        <f>IF(NOT('T3.13.6 T3.37 MHoop Brace Spt'!F2="tubing only"),"N/A",IF(AND('T3.13.6 T3.37 MHoop Brace Spt'!E5='T3.13.6 T3.37 MHoop Brace Spt'!C5,'T3.13.6 T3.37 MHoop Brace Spt'!E15&gt;='T3.13.6 T3.37 MHoop Brace Spt'!C15,'T3.13.6 T3.37 MHoop Brace Spt'!E16&gt;='T3.13.6 T3.37 MHoop Brace Spt'!C16),"YES","NO"))</f>
        <v>NO</v>
      </c>
      <c r="B27" s="197"/>
      <c r="C27" s="196" t="str">
        <f>IF(A27="N/A","N/A",IF(A27="YES","NO","YES"))</f>
        <v>YES</v>
      </c>
      <c r="D27" s="197"/>
      <c r="E27" s="194" t="s">
        <v>143</v>
      </c>
      <c r="F27" s="194"/>
      <c r="G27" s="195" t="s">
        <v>104</v>
      </c>
      <c r="H27" s="195"/>
      <c r="I27" s="195"/>
      <c r="J27" s="195"/>
      <c r="K27" s="195"/>
      <c r="L27" s="195"/>
      <c r="M27" s="195"/>
      <c r="N27" s="195"/>
      <c r="O27" s="191"/>
      <c r="P27" s="191"/>
      <c r="Q27" s="191"/>
      <c r="R27" s="191"/>
      <c r="S27" s="191"/>
      <c r="T27" s="18" t="e">
        <f>IF(A27="NO",'T3.13.6 T3.37 MHoop Brace Spt'!$H$26,"NA")</f>
        <v>#N/A</v>
      </c>
      <c r="U27" s="18" t="str">
        <f>IF(A27="NO",'T3.13.6 T3.37 MHoop Brace Spt'!$H$27,"NA")</f>
        <v>NA</v>
      </c>
      <c r="V27" s="18" t="e">
        <f>IF(A27="NO",'T3.13.6 T3.37 MHoop Brace Spt'!$H$28,"NA")</f>
        <v>#VALUE!</v>
      </c>
      <c r="W27" s="18" t="e">
        <f>IF(A27="NO",'T3.13.6 T3.37 MHoop Brace Spt'!$H$29,"NA")</f>
        <v>#VALUE!</v>
      </c>
      <c r="X27" s="18" t="e">
        <f>IF(A27="NO",'T3.13.6 T3.37 MHoop Brace Spt'!$H$30,"NA")</f>
        <v>#VALUE!</v>
      </c>
      <c r="Y27" s="18" t="e">
        <f>IF(A27="NO",'T3.13.6 T3.37 MHoop Brace Spt'!$H$31,"NA")</f>
        <v>#VALUE!</v>
      </c>
      <c r="Z27" s="18" t="e">
        <f>IF(A27="NO",'T3.13.6 T3.37 MHoop Brace Spt'!$H$32,"NA")</f>
        <v>#N/A</v>
      </c>
      <c r="AA27" s="17" t="e">
        <f>IF(A27="NO",'T3.13.6 T3.37 MHoop Brace Spt'!$H$33,"NA")</f>
        <v>#N/A</v>
      </c>
      <c r="AB27" s="18" t="e">
        <f>IF(A27="NO",'T3.13.6 T3.37 MHoop Brace Spt'!$H$34,"NA")</f>
        <v>#N/A</v>
      </c>
      <c r="AC27" s="15">
        <f>IF(A27="N/A","",IF('T3.13.6 T3.37 MHoop Brace Spt'!$F$2="composite only","",'T3.13.6 T3.37 MHoop Brace Spt'!E5))</f>
        <v>0</v>
      </c>
      <c r="AD27" s="15">
        <f>IF(A27="N/A","",IF('T3.13.6 T3.37 MHoop Brace Spt'!$F$2="composite only","",'T3.13.6 T3.37 MHoop Brace Spt'!$E$6))</f>
        <v>0</v>
      </c>
      <c r="AE27" s="3">
        <f>IF(A27="N/A","",IF('T3.13.6 T3.37 MHoop Brace Spt'!$F$2="composite only","",'T3.13.6 T3.37 MHoop Brace Spt'!$E$15))</f>
        <v>0</v>
      </c>
      <c r="AF27" s="15">
        <f>IF(A27="N/A","",IF('T3.13.6 T3.37 MHoop Brace Spt'!$F$2="composite only","",'T3.13.6 T3.37 MHoop Brace Spt'!$E$16))</f>
        <v>0</v>
      </c>
      <c r="AG27" s="19"/>
      <c r="AH27" s="19"/>
      <c r="AI27" s="19"/>
      <c r="AJ27" s="19"/>
      <c r="AK27" s="19"/>
      <c r="AL27" s="19"/>
      <c r="AM27" s="19"/>
      <c r="AN27" s="19"/>
      <c r="AO27" s="19"/>
      <c r="AP27" s="19"/>
      <c r="AQ27" s="19"/>
      <c r="AR27" s="19"/>
    </row>
    <row r="28" spans="1:44" ht="12.75" customHeight="1">
      <c r="A28" s="192" t="str">
        <f>IF('T3.14 T3.37 FHoop Bracing'!F2="tubing only",IF(AND('T3.14 T3.37 FHoop Bracing'!E6='T3.14 T3.37 FHoop Bracing'!C6,'T3.14 T3.37 FHoop Bracing'!E15&gt;='T3.14 T3.37 FHoop Bracing'!C15,'T3.14 T3.37 FHoop Bracing'!E16&gt;='T3.14 T3.37 FHoop Bracing'!C16,'T3.14 T3.37 FHoop Bracing'!E5='T3.14 T3.37 FHoop Bracing'!C5),"YES","NO"),"N/A")</f>
        <v>NO</v>
      </c>
      <c r="B28" s="193"/>
      <c r="C28" s="192" t="str">
        <f t="shared" si="0"/>
        <v>YES</v>
      </c>
      <c r="D28" s="193"/>
      <c r="E28" s="194" t="s">
        <v>142</v>
      </c>
      <c r="F28" s="194"/>
      <c r="G28" s="195" t="s">
        <v>63</v>
      </c>
      <c r="H28" s="195"/>
      <c r="I28" s="195"/>
      <c r="J28" s="195"/>
      <c r="K28" s="195"/>
      <c r="L28" s="195"/>
      <c r="M28" s="195"/>
      <c r="N28" s="195"/>
      <c r="O28" s="191"/>
      <c r="P28" s="191"/>
      <c r="Q28" s="191"/>
      <c r="R28" s="191"/>
      <c r="S28" s="191"/>
      <c r="T28" s="22" t="e">
        <f>IF($A$28="NO",'T3.14 T3.37 FHoop Bracing'!$H$26,"NA")</f>
        <v>#N/A</v>
      </c>
      <c r="U28" s="18" t="str">
        <f>IF($A$28="NO",'T3.14 T3.37 FHoop Bracing'!$H$27,"NA")</f>
        <v>NA</v>
      </c>
      <c r="V28" s="18" t="e">
        <f>IF($A$28="NO",'T3.14 T3.37 FHoop Bracing'!$H$28,"NA")</f>
        <v>#VALUE!</v>
      </c>
      <c r="W28" s="18" t="e">
        <f>IF($A$28="NO",'T3.14 T3.37 FHoop Bracing'!$H$29,"NA")</f>
        <v>#VALUE!</v>
      </c>
      <c r="X28" s="18" t="e">
        <f>IF($A$28="NO",'T3.14 T3.37 FHoop Bracing'!$H$30,"NA")</f>
        <v>#VALUE!</v>
      </c>
      <c r="Y28" s="18" t="e">
        <f>IF($A$28="NO",'T3.14 T3.37 FHoop Bracing'!$H$31,"NA")</f>
        <v>#VALUE!</v>
      </c>
      <c r="Z28" s="18" t="e">
        <f>IF($A$28="NO",'T3.14 T3.37 FHoop Bracing'!$H$32,"NA")</f>
        <v>#N/A</v>
      </c>
      <c r="AA28" s="17" t="e">
        <f>IF($A$28="NO",'T3.14 T3.37 FHoop Bracing'!$H$33,"NA")</f>
        <v>#N/A</v>
      </c>
      <c r="AB28" s="18" t="e">
        <f>IF($A$28="NO",'T3.14 T3.37 FHoop Bracing'!$H$34,"NA")</f>
        <v>#N/A</v>
      </c>
      <c r="AC28" s="15">
        <f>IF(A28="N/A","",IF('T3.14 T3.37 FHoop Bracing'!$F$2="Composite Only","",'T3.14 T3.37 FHoop Bracing'!$E$5))</f>
        <v>0</v>
      </c>
      <c r="AD28" s="15">
        <f>IF(A28="N/A","",IF('T3.14 T3.37 FHoop Bracing'!$F$2="Composite Only","",'T3.14 T3.37 FHoop Bracing'!$E$6))</f>
        <v>0</v>
      </c>
      <c r="AE28" s="3">
        <f>IF(A28="N/A","",IF('T3.14 T3.37 FHoop Bracing'!$F$2="Composite Only","",'T3.14 T3.37 FHoop Bracing'!$E$15))</f>
        <v>0</v>
      </c>
      <c r="AF28" s="15">
        <f>IF(A28="N/A","",IF('T3.14 T3.37 FHoop Bracing'!$F$2="Composite Only","",'T3.14 T3.37 FHoop Bracing'!$E$16))</f>
        <v>0</v>
      </c>
      <c r="AG28" s="19"/>
      <c r="AH28" s="19"/>
      <c r="AI28" s="19"/>
      <c r="AJ28" s="19"/>
      <c r="AK28" s="19"/>
      <c r="AL28" s="19"/>
      <c r="AM28" s="19"/>
      <c r="AN28" s="19"/>
      <c r="AO28" s="19"/>
      <c r="AP28" s="19"/>
      <c r="AQ28" s="19"/>
      <c r="AR28" s="19"/>
    </row>
    <row r="29" spans="1:44" s="2" customFormat="1" ht="12.75" customHeight="1">
      <c r="A29" s="196" t="str">
        <f>IF(NOT('T3.19 T3.32 Ft Bulkhead'!F2="tubing only"),"N/A",IF(AND('T3.19 T3.32 Ft Bulkhead'!E5='T3.19 T3.32 Ft Bulkhead'!C5,'T3.19 T3.32 Ft Bulkhead'!E15&gt;='T3.19 T3.32 Ft Bulkhead'!C15,'T3.19 T3.32 Ft Bulkhead'!E16&gt;='T3.19 T3.32 Ft Bulkhead'!C16),"YES","NO"))</f>
        <v>NO</v>
      </c>
      <c r="B29" s="197"/>
      <c r="C29" s="196" t="str">
        <f t="shared" si="0"/>
        <v>YES</v>
      </c>
      <c r="D29" s="197"/>
      <c r="E29" s="194" t="s">
        <v>144</v>
      </c>
      <c r="F29" s="194"/>
      <c r="G29" s="195" t="s">
        <v>64</v>
      </c>
      <c r="H29" s="195"/>
      <c r="I29" s="195"/>
      <c r="J29" s="195"/>
      <c r="K29" s="195"/>
      <c r="L29" s="195"/>
      <c r="M29" s="195"/>
      <c r="N29" s="195"/>
      <c r="O29" s="191"/>
      <c r="P29" s="191"/>
      <c r="Q29" s="191"/>
      <c r="R29" s="191"/>
      <c r="S29" s="191"/>
      <c r="T29" s="18" t="e">
        <f>IF($A$29="NO",'T3.19 T3.32 Ft Bulkhead'!$H26,"NA")</f>
        <v>#N/A</v>
      </c>
      <c r="U29" s="18" t="str">
        <f>IF($A$29="NO",'T3.19 T3.32 Ft Bulkhead'!$H27,"NA")</f>
        <v>NA</v>
      </c>
      <c r="V29" s="18" t="e">
        <f>IF($A$29="NO",'T3.19 T3.32 Ft Bulkhead'!$H28,"NA")</f>
        <v>#VALUE!</v>
      </c>
      <c r="W29" s="18" t="e">
        <f>IF($A$29="NO",'T3.19 T3.32 Ft Bulkhead'!$H29,"NA")</f>
        <v>#VALUE!</v>
      </c>
      <c r="X29" s="18" t="e">
        <f>IF($A$29="NO",'T3.19 T3.32 Ft Bulkhead'!$H30,"NA")</f>
        <v>#VALUE!</v>
      </c>
      <c r="Y29" s="18" t="e">
        <f>IF($A$29="NO",'T3.19 T3.32 Ft Bulkhead'!$H31,"NA")</f>
        <v>#VALUE!</v>
      </c>
      <c r="Z29" s="18" t="e">
        <f>IF($A$29="NO",'T3.19 T3.32 Ft Bulkhead'!$H32,"NA")</f>
        <v>#N/A</v>
      </c>
      <c r="AA29" s="17" t="e">
        <f>IF($A$29="NO",'T3.19 T3.32 Ft Bulkhead'!$H33,"NA")</f>
        <v>#N/A</v>
      </c>
      <c r="AB29" s="18" t="e">
        <f>IF($A$29="NO",'T3.19 T3.32 Ft Bulkhead'!$H34,"NA")</f>
        <v>#N/A</v>
      </c>
      <c r="AC29" s="15">
        <f>IF(A29="N/A","",IF('T3.19 T3.32 Ft Bulkhead'!$F$2="Composite only","",'T3.19 T3.32 Ft Bulkhead'!$E$5))</f>
        <v>0</v>
      </c>
      <c r="AD29" s="15">
        <f>IF(A29="N/A","",IF('T3.19 T3.32 Ft Bulkhead'!$F$2="Composite only","",'T3.19 T3.32 Ft Bulkhead'!$E$6))</f>
        <v>0</v>
      </c>
      <c r="AE29" s="3">
        <f>IF(A29="N/A","",IF('T3.19 T3.32 Ft Bulkhead'!$F$2="Composite only","",'T3.19 T3.32 Ft Bulkhead'!$E$15))</f>
        <v>0</v>
      </c>
      <c r="AF29" s="15">
        <f>IF(A29="N/A","",IF('T3.19 T3.32 Ft Bulkhead'!$F$2="Composite only","",'T3.19 T3.32 Ft Bulkhead'!$E$16))</f>
        <v>0</v>
      </c>
      <c r="AG29" s="19"/>
      <c r="AH29" s="19"/>
      <c r="AI29" s="19"/>
      <c r="AJ29" s="19"/>
      <c r="AK29" s="19"/>
      <c r="AL29" s="19"/>
      <c r="AM29" s="19"/>
      <c r="AN29" s="19"/>
      <c r="AO29" s="19"/>
      <c r="AP29" s="19"/>
      <c r="AQ29" s="19"/>
      <c r="AR29" s="19"/>
    </row>
    <row r="30" spans="1:44" ht="12.75" customHeight="1">
      <c r="A30" s="220" t="e">
        <f>IF(NOT('T3.20 T3.33 FBH S''pt Structure'!F2="tubing only"),"N/A",IF('T3.20 T3.33 FBH S''pt Structure'!G17="YES","YES","NO"))</f>
        <v>#VALUE!</v>
      </c>
      <c r="B30" s="221"/>
      <c r="C30" s="220" t="e">
        <f t="shared" si="0"/>
        <v>#VALUE!</v>
      </c>
      <c r="D30" s="221"/>
      <c r="E30" s="228" t="s">
        <v>145</v>
      </c>
      <c r="F30" s="228"/>
      <c r="G30" s="233" t="s">
        <v>65</v>
      </c>
      <c r="H30" s="233"/>
      <c r="I30" s="233"/>
      <c r="J30" s="233"/>
      <c r="K30" s="233"/>
      <c r="L30" s="233"/>
      <c r="M30" s="233"/>
      <c r="N30" s="233"/>
      <c r="O30" s="191"/>
      <c r="P30" s="191"/>
      <c r="Q30" s="191"/>
      <c r="R30" s="191"/>
      <c r="S30" s="191"/>
      <c r="T30" s="27" t="e">
        <f>IF($A$30="NO",'T3.20 T3.33 FBH S''pt Structure'!$K$26,"NA")</f>
        <v>#VALUE!</v>
      </c>
      <c r="U30" s="27" t="e">
        <f>IF($A$30="NO",'T3.20 T3.33 FBH S''pt Structure'!$K$27,"NA")</f>
        <v>#VALUE!</v>
      </c>
      <c r="V30" s="27" t="e">
        <f>IF($A$30="NO",'T3.20 T3.33 FBH S''pt Structure'!$K$28,"NA")</f>
        <v>#VALUE!</v>
      </c>
      <c r="W30" s="27" t="e">
        <f>IF($A$30="NO",'T3.20 T3.33 FBH S''pt Structure'!$K$29,"NA")</f>
        <v>#VALUE!</v>
      </c>
      <c r="X30" s="27" t="e">
        <f>IF($A$30="NO",'T3.20 T3.33 FBH S''pt Structure'!$K$30,"NA")</f>
        <v>#VALUE!</v>
      </c>
      <c r="Y30" s="27" t="e">
        <f>IF($A$30="NO",'T3.20 T3.33 FBH S''pt Structure'!$K$31,"NA")</f>
        <v>#VALUE!</v>
      </c>
      <c r="Z30" s="27" t="e">
        <f>IF($A$30="NO",'T3.20 T3.33 FBH S''pt Structure'!$K$32,"NA")</f>
        <v>#VALUE!</v>
      </c>
      <c r="AA30" s="17" t="e">
        <f>IF($A$30="NO",'T3.20 T3.33 FBH S''pt Structure'!$K$33,"NA")</f>
        <v>#VALUE!</v>
      </c>
      <c r="AB30" s="27" t="e">
        <f>IF($A$30="NO",'T3.20 T3.33 FBH S''pt Structure'!$K$34,"NA")</f>
        <v>#VALUE!</v>
      </c>
      <c r="AC30" s="28">
        <f>IF('T3.20 T3.33 FBH S''pt Structure'!$F$2="tubing only",'T3.20 T3.33 FBH S''pt Structure'!$E$5,"")</f>
        <v>0</v>
      </c>
      <c r="AD30" s="28">
        <f>IF('T3.20 T3.33 FBH S''pt Structure'!$F$2="tubing only",'T3.20 T3.33 FBH S''pt Structure'!$E$6,"")</f>
        <v>0</v>
      </c>
      <c r="AE30" s="29">
        <f>IF('T3.20 T3.33 FBH S''pt Structure'!$F$2="tubing only",'T3.20 T3.33 FBH S''pt Structure'!$E$15,"")</f>
        <v>0</v>
      </c>
      <c r="AF30" s="28">
        <f>IF('T3.20 T3.33 FBH S''pt Structure'!$F$2="tubing only",'T3.20 T3.33 FBH S''pt Structure'!$E$16,"")</f>
        <v>0</v>
      </c>
      <c r="AG30" s="28">
        <f>IF('T3.20 T3.33 FBH S''pt Structure'!$F$2="tubing only",IF('T3.20 T3.33 FBH S''pt Structure'!$F$14&gt;0,'T3.20 T3.33 FBH S''pt Structure'!$F$5,""),"")</f>
      </c>
      <c r="AH30" s="28">
        <f>IF('T3.20 T3.33 FBH S''pt Structure'!$F$2="tubing only",IF('T3.20 T3.33 FBH S''pt Structure'!$F$14&gt;0,'T3.20 T3.33 FBH S''pt Structure'!$F$6,""),"")</f>
      </c>
      <c r="AI30" s="29">
        <f>IF('T3.20 T3.33 FBH S''pt Structure'!$F$2="tubing only",IF('T3.20 T3.33 FBH S''pt Structure'!$F$14&gt;0,'T3.20 T3.33 FBH S''pt Structure'!$F$15,""),"")</f>
      </c>
      <c r="AJ30" s="28">
        <f>IF('T3.20 T3.33 FBH S''pt Structure'!$F$2="tubing only",IF('T3.20 T3.33 FBH S''pt Structure'!$F$14&gt;0,'T3.20 T3.33 FBH S''pt Structure'!$F$16,""),"")</f>
      </c>
      <c r="AK30" s="28">
        <f>IF('T3.20 T3.33 FBH S''pt Structure'!$F$2="tubing only",IF('T3.20 T3.33 FBH S''pt Structure'!$G$14&gt;0,'T3.20 T3.33 FBH S''pt Structure'!$G$5,""),"")</f>
      </c>
      <c r="AL30" s="28">
        <f>IF('T3.20 T3.33 FBH S''pt Structure'!$F$2="tubing only",IF('T3.20 T3.33 FBH S''pt Structure'!$G$14&gt;0,'T3.20 T3.33 FBH S''pt Structure'!$G$6,""),"")</f>
      </c>
      <c r="AM30" s="29">
        <f>IF('T3.20 T3.33 FBH S''pt Structure'!$F$2="tubing only",IF('T3.20 T3.33 FBH S''pt Structure'!$G$14&gt;0,'T3.20 T3.33 FBH S''pt Structure'!$G$15,""),"")</f>
      </c>
      <c r="AN30" s="28">
        <f>IF('T3.20 T3.33 FBH S''pt Structure'!$F$2="tubing only",IF('T3.20 T3.33 FBH S''pt Structure'!$G$14&gt;0,'T3.20 T3.33 FBH S''pt Structure'!$G$16,""),"")</f>
      </c>
      <c r="AO30" s="30"/>
      <c r="AP30" s="29"/>
      <c r="AQ30" s="28"/>
      <c r="AR30" s="31"/>
    </row>
    <row r="31" spans="1:44" ht="12.75" customHeight="1">
      <c r="A31" s="196" t="e">
        <f>IF(NOT('T3.25 T3.34 Side Impact Struct.'!F2="tubing only"),"N/A",IF('T3.25 T3.34 Side Impact Struct.'!G17="YES","YES","NO"))</f>
        <v>#VALUE!</v>
      </c>
      <c r="B31" s="197"/>
      <c r="C31" s="196" t="e">
        <f t="shared" si="0"/>
        <v>#VALUE!</v>
      </c>
      <c r="D31" s="197"/>
      <c r="E31" s="194" t="s">
        <v>146</v>
      </c>
      <c r="F31" s="194"/>
      <c r="G31" s="195" t="s">
        <v>67</v>
      </c>
      <c r="H31" s="195"/>
      <c r="I31" s="195"/>
      <c r="J31" s="195"/>
      <c r="K31" s="195"/>
      <c r="L31" s="195"/>
      <c r="M31" s="195"/>
      <c r="N31" s="195"/>
      <c r="O31" s="191"/>
      <c r="P31" s="191"/>
      <c r="Q31" s="191"/>
      <c r="R31" s="191"/>
      <c r="S31" s="191"/>
      <c r="T31" s="18" t="e">
        <f>IF($A$31="NO",'T3.25 T3.34 Side Impact Struct.'!$K$26,"NA")</f>
        <v>#VALUE!</v>
      </c>
      <c r="U31" s="18" t="e">
        <f>IF($A$31="NO",'T3.25 T3.34 Side Impact Struct.'!$K$27,"NA")</f>
        <v>#VALUE!</v>
      </c>
      <c r="V31" s="18" t="e">
        <f>IF($A$31="NO",'T3.25 T3.34 Side Impact Struct.'!$K$28,"NA")</f>
        <v>#VALUE!</v>
      </c>
      <c r="W31" s="18" t="e">
        <f>IF($A$31="NO",'T3.25 T3.34 Side Impact Struct.'!$K$29,"NA")</f>
        <v>#VALUE!</v>
      </c>
      <c r="X31" s="18" t="e">
        <f>IF($A$31="NO",'T3.25 T3.34 Side Impact Struct.'!$K$30,"NA")</f>
        <v>#VALUE!</v>
      </c>
      <c r="Y31" s="18" t="e">
        <f>IF($A$31="NO",'T3.25 T3.34 Side Impact Struct.'!$K$31,"NA")</f>
        <v>#VALUE!</v>
      </c>
      <c r="Z31" s="18" t="e">
        <f>IF($A$31="NO",'T3.25 T3.34 Side Impact Struct.'!$K$32,"NA")</f>
        <v>#VALUE!</v>
      </c>
      <c r="AA31" s="17" t="e">
        <f>IF($A$31="NO",'T3.25 T3.34 Side Impact Struct.'!$K$33,"NA")</f>
        <v>#VALUE!</v>
      </c>
      <c r="AB31" s="18" t="e">
        <f>IF($A$31="NO",'T3.25 T3.34 Side Impact Struct.'!$K$34,"NA")</f>
        <v>#VALUE!</v>
      </c>
      <c r="AC31" s="15">
        <f>IF('T3.25 T3.34 Side Impact Struct.'!$F$2="tubing only",'T3.25 T3.34 Side Impact Struct.'!$E$5,"")</f>
        <v>0</v>
      </c>
      <c r="AD31" s="15">
        <f>IF('T3.25 T3.34 Side Impact Struct.'!$F$2="tubing only",'T3.25 T3.34 Side Impact Struct.'!$E$6,"")</f>
        <v>0</v>
      </c>
      <c r="AE31" s="3">
        <f>IF('T3.25 T3.34 Side Impact Struct.'!$F$2="tubing only",'T3.25 T3.34 Side Impact Struct.'!$E$15,"")</f>
        <v>0</v>
      </c>
      <c r="AF31" s="15">
        <f>IF('T3.25 T3.34 Side Impact Struct.'!$F$2="tubing only",'T3.25 T3.34 Side Impact Struct.'!$E$16,"")</f>
        <v>0</v>
      </c>
      <c r="AG31" s="15">
        <f>IF('T3.25 T3.34 Side Impact Struct.'!$F$2="tubing only",IF('T3.25 T3.34 Side Impact Struct.'!$F$14&gt;0,'T3.25 T3.34 Side Impact Struct.'!$F$5,""),"")</f>
      </c>
      <c r="AH31" s="15">
        <f>IF('T3.25 T3.34 Side Impact Struct.'!$F$2="tubing only",IF('T3.25 T3.34 Side Impact Struct.'!$F$14&gt;0,'T3.25 T3.34 Side Impact Struct.'!$F$6,""),"")</f>
      </c>
      <c r="AI31" s="3">
        <f>IF('T3.25 T3.34 Side Impact Struct.'!$F$2="tubing only",IF('T3.25 T3.34 Side Impact Struct.'!$F$14&gt;0,'T3.25 T3.34 Side Impact Struct.'!$F$15,""),"")</f>
      </c>
      <c r="AJ31" s="15">
        <f>IF('T3.25 T3.34 Side Impact Struct.'!$F$2="tubing only",IF('T3.25 T3.34 Side Impact Struct.'!$F$14&gt;0,'T3.25 T3.34 Side Impact Struct.'!$F$16,""),"")</f>
      </c>
      <c r="AK31" s="15">
        <f>IF('T3.25 T3.34 Side Impact Struct.'!$F$2="tubing only",IF('T3.25 T3.34 Side Impact Struct.'!$G$14&gt;0,'T3.25 T3.34 Side Impact Struct.'!$G$5,""),"")</f>
      </c>
      <c r="AL31" s="15">
        <f>IF('T3.25 T3.34 Side Impact Struct.'!$F$2="tubing only",IF('T3.25 T3.34 Side Impact Struct.'!$G$14&gt;0,'T3.25 T3.34 Side Impact Struct.'!$G$6,""),"")</f>
      </c>
      <c r="AM31" s="3">
        <f>IF('T3.25 T3.34 Side Impact Struct.'!$F$2="tubing only",IF('T3.25 T3.34 Side Impact Struct.'!$G$14&gt;0,'T3.25 T3.34 Side Impact Struct.'!$G$15,""),"")</f>
      </c>
      <c r="AN31" s="15">
        <f>IF('T3.25 T3.34 Side Impact Struct.'!$F$2="tubing only",IF('T3.25 T3.34 Side Impact Struct.'!$G$14&gt;0,'T3.25 T3.34 Side Impact Struct.'!$G$16,""),"")</f>
      </c>
      <c r="AO31" s="21"/>
      <c r="AP31" s="20"/>
      <c r="AQ31" s="21"/>
      <c r="AR31" s="26"/>
    </row>
    <row r="32" spans="1:44" ht="12.75" customHeight="1">
      <c r="A32" s="196" t="str">
        <f>IF(AND('T5.4 Shoulder Harness Bar'!F2="tubing only",'T5.4 Shoulder Harness Bar'!E5='T5.4 Shoulder Harness Bar'!C5,'T5.4 Shoulder Harness Bar'!E15&gt;='T5.4 Shoulder Harness Bar'!C15,'T5.4 Shoulder Harness Bar'!E16&gt;='T5.4 Shoulder Harness Bar'!C16),"YES","NO")</f>
        <v>NO</v>
      </c>
      <c r="B32" s="197"/>
      <c r="C32" s="196" t="str">
        <f>IF(A32="N/A","N/A",IF(A32="YES","NO","YES"))</f>
        <v>YES</v>
      </c>
      <c r="D32" s="197"/>
      <c r="E32" s="194" t="s">
        <v>147</v>
      </c>
      <c r="F32" s="194"/>
      <c r="G32" s="195" t="s">
        <v>46</v>
      </c>
      <c r="H32" s="195"/>
      <c r="I32" s="195"/>
      <c r="J32" s="195"/>
      <c r="K32" s="195"/>
      <c r="L32" s="195"/>
      <c r="M32" s="195"/>
      <c r="N32" s="195"/>
      <c r="O32" s="191"/>
      <c r="P32" s="191"/>
      <c r="Q32" s="191"/>
      <c r="R32" s="191"/>
      <c r="S32" s="191"/>
      <c r="T32" s="18" t="e">
        <f>IF(A32="YES","NA",'T5.4 Shoulder Harness Bar'!H26)</f>
        <v>#N/A</v>
      </c>
      <c r="U32" s="18" t="e">
        <f>IF(A32="YES","NA",'T5.4 Shoulder Harness Bar'!H27)</f>
        <v>#VALUE!</v>
      </c>
      <c r="V32" s="18" t="e">
        <f>IF(A32="YES","NA",'T5.4 Shoulder Harness Bar'!H28)</f>
        <v>#VALUE!</v>
      </c>
      <c r="W32" s="18" t="e">
        <f>IF(A32="YES","NA",'T5.4 Shoulder Harness Bar'!H29)</f>
        <v>#VALUE!</v>
      </c>
      <c r="X32" s="18" t="e">
        <f>IF(A32="YES","NA",'T5.4 Shoulder Harness Bar'!H30)</f>
        <v>#VALUE!</v>
      </c>
      <c r="Y32" s="18" t="e">
        <f>IF(A32="YES","NA",'T5.4 Shoulder Harness Bar'!H31)</f>
        <v>#VALUE!</v>
      </c>
      <c r="Z32" s="18" t="e">
        <f>IF(A32="YES","NA",'T5.4 Shoulder Harness Bar'!H32)</f>
        <v>#N/A</v>
      </c>
      <c r="AA32" s="17" t="e">
        <f>IF(A32="YES","NA",'T5.4 Shoulder Harness Bar'!H33)</f>
        <v>#N/A</v>
      </c>
      <c r="AB32" s="18" t="e">
        <f>IF(A32="YES","NA",'T5.4 Shoulder Harness Bar'!H34)</f>
        <v>#N/A</v>
      </c>
      <c r="AC32" s="15">
        <f>IF('T5.4 Shoulder Harness Bar'!F2="composite only","",'T5.4 Shoulder Harness Bar'!E5)</f>
        <v>0</v>
      </c>
      <c r="AD32" s="15">
        <f>IF('T5.4 Shoulder Harness Bar'!F2="composite only","",'T5.4 Shoulder Harness Bar'!E6)</f>
        <v>0</v>
      </c>
      <c r="AE32" s="3">
        <f>IF('T5.4 Shoulder Harness Bar'!F2="composite only","",'T5.4 Shoulder Harness Bar'!E15)</f>
        <v>0</v>
      </c>
      <c r="AF32" s="15">
        <f>IF('T5.4 Shoulder Harness Bar'!F2="composite only","",'T5.4 Shoulder Harness Bar'!E16)</f>
        <v>0</v>
      </c>
      <c r="AG32" s="19"/>
      <c r="AH32" s="19"/>
      <c r="AI32" s="19"/>
      <c r="AJ32" s="19"/>
      <c r="AK32" s="19"/>
      <c r="AL32" s="19"/>
      <c r="AM32" s="19"/>
      <c r="AN32" s="19"/>
      <c r="AO32" s="15">
        <f>IF('T5.4 Shoulder Harness Bar'!F2="tubing only","",'T5.4 Shoulder Harness Bar'!F5)</f>
      </c>
      <c r="AP32" s="3">
        <f>IF('T5.4 Shoulder Harness Bar'!F2="tubing only","",'T5.4 Shoulder Harness Bar'!F18)</f>
      </c>
      <c r="AQ32" s="15">
        <f>IF('T5.4 Shoulder Harness Bar'!F2="tubing only","",'T5.4 Shoulder Harness Bar'!F20)</f>
      </c>
      <c r="AR32" s="25">
        <f>IF('T5.4 Shoulder Harness Bar'!F2="tubing only","",'T5.4 Shoulder Harness Bar'!F21)</f>
      </c>
    </row>
    <row r="33" spans="1:44" ht="12.75" customHeight="1">
      <c r="A33" s="229" t="str">
        <f>IF(OR(AND('T3.21.6 IA AI Plate'!D4="steel",'T3.21.6 IA AI Plate'!D13&gt;=1.5),AND('T3.21.6 IA AI Plate'!D4="aluminium 1",'T3.21.6 IA AI Plate'!D13&gt;=4)),"YES","NO")</f>
        <v>NO</v>
      </c>
      <c r="B33" s="230"/>
      <c r="C33" s="196" t="str">
        <f>IF(A33="N/A","N/A",IF(A33="YES","NO","YES"))</f>
        <v>YES</v>
      </c>
      <c r="D33" s="197"/>
      <c r="E33" s="194" t="s">
        <v>148</v>
      </c>
      <c r="F33" s="194"/>
      <c r="G33" s="195" t="s">
        <v>66</v>
      </c>
      <c r="H33" s="195"/>
      <c r="I33" s="195"/>
      <c r="J33" s="195"/>
      <c r="K33" s="195"/>
      <c r="L33" s="195"/>
      <c r="M33" s="195"/>
      <c r="N33" s="195"/>
      <c r="O33" s="191"/>
      <c r="P33" s="191"/>
      <c r="Q33" s="191"/>
      <c r="R33" s="191"/>
      <c r="S33" s="191"/>
      <c r="T33" s="18" t="e">
        <f>IF(A33="YES","NA",'T3.21.6 IA AI Plate'!E27)</f>
        <v>#N/A</v>
      </c>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row>
    <row r="34" spans="1:20" ht="12.75" customHeight="1">
      <c r="A34" s="9" t="s">
        <v>68</v>
      </c>
      <c r="T34" s="189"/>
    </row>
    <row r="35" spans="1:20" ht="12.75">
      <c r="A35" s="10" t="s">
        <v>69</v>
      </c>
      <c r="B35" s="11" t="s">
        <v>70</v>
      </c>
      <c r="T35" s="190"/>
    </row>
    <row r="36" spans="1:20" ht="12.75">
      <c r="A36" s="10" t="s">
        <v>69</v>
      </c>
      <c r="B36" t="s">
        <v>71</v>
      </c>
      <c r="T36" s="190"/>
    </row>
    <row r="37" spans="1:20" ht="12.75">
      <c r="A37" s="10" t="s">
        <v>69</v>
      </c>
      <c r="B37" t="s">
        <v>72</v>
      </c>
      <c r="T37" s="190"/>
    </row>
    <row r="38" spans="1:20" ht="12.75">
      <c r="A38" s="10" t="s">
        <v>69</v>
      </c>
      <c r="B38" t="s">
        <v>73</v>
      </c>
      <c r="T38" s="190"/>
    </row>
    <row r="39" ht="12.75">
      <c r="T39" s="190"/>
    </row>
    <row r="40" spans="1:20" ht="12.75">
      <c r="A40" s="214" t="s">
        <v>74</v>
      </c>
      <c r="B40" s="214"/>
      <c r="C40" s="214"/>
      <c r="D40" s="214"/>
      <c r="E40" s="214"/>
      <c r="F40" s="214"/>
      <c r="G40" s="214"/>
      <c r="H40" s="214"/>
      <c r="I40" s="214"/>
      <c r="J40" s="214"/>
      <c r="K40" s="214"/>
      <c r="L40" s="214"/>
      <c r="M40" s="214"/>
      <c r="N40" s="214"/>
      <c r="O40" s="214"/>
      <c r="P40" s="214"/>
      <c r="Q40" s="214"/>
      <c r="R40" s="214"/>
      <c r="S40" s="214"/>
      <c r="T40" s="190"/>
    </row>
    <row r="41" spans="1:20" ht="12.75">
      <c r="A41" s="12" t="s">
        <v>131</v>
      </c>
      <c r="T41" s="190"/>
    </row>
    <row r="42" spans="1:20" ht="12.75">
      <c r="A42" s="237" t="s">
        <v>75</v>
      </c>
      <c r="B42" s="237"/>
      <c r="C42" s="237"/>
      <c r="D42" s="237"/>
      <c r="E42" s="237"/>
      <c r="F42" s="237"/>
      <c r="G42" s="237"/>
      <c r="H42" s="237"/>
      <c r="I42" s="237"/>
      <c r="J42" s="237"/>
      <c r="K42" s="237"/>
      <c r="L42" s="237"/>
      <c r="M42" s="237"/>
      <c r="N42" s="237"/>
      <c r="O42" s="237"/>
      <c r="P42" s="237"/>
      <c r="Q42" s="237"/>
      <c r="R42" s="237"/>
      <c r="S42" s="237"/>
      <c r="T42" s="190"/>
    </row>
    <row r="43" ht="12.75">
      <c r="T43" s="190"/>
    </row>
    <row r="44" spans="1:20" ht="12.75">
      <c r="A44" s="239"/>
      <c r="B44" s="240"/>
      <c r="C44" s="240"/>
      <c r="D44" s="240"/>
      <c r="E44" s="240"/>
      <c r="F44" s="240"/>
      <c r="G44" s="240"/>
      <c r="H44" s="240"/>
      <c r="I44" s="240"/>
      <c r="J44" s="240"/>
      <c r="K44" s="240"/>
      <c r="L44" s="240"/>
      <c r="M44" s="240"/>
      <c r="N44" s="240"/>
      <c r="O44" s="240"/>
      <c r="P44" s="240"/>
      <c r="Q44" s="240"/>
      <c r="R44" s="240"/>
      <c r="S44" s="241"/>
      <c r="T44" s="190"/>
    </row>
    <row r="45" spans="1:20" ht="12.75">
      <c r="A45" s="242"/>
      <c r="B45" s="243"/>
      <c r="C45" s="243"/>
      <c r="D45" s="243"/>
      <c r="E45" s="243"/>
      <c r="F45" s="243"/>
      <c r="G45" s="243"/>
      <c r="H45" s="243"/>
      <c r="I45" s="243"/>
      <c r="J45" s="243"/>
      <c r="K45" s="243"/>
      <c r="L45" s="243"/>
      <c r="M45" s="243"/>
      <c r="N45" s="243"/>
      <c r="O45" s="243"/>
      <c r="P45" s="243"/>
      <c r="Q45" s="243"/>
      <c r="R45" s="243"/>
      <c r="S45" s="244"/>
      <c r="T45" s="190"/>
    </row>
    <row r="46" spans="1:20" ht="12.75">
      <c r="A46" s="242"/>
      <c r="B46" s="243"/>
      <c r="C46" s="243"/>
      <c r="D46" s="243"/>
      <c r="E46" s="243"/>
      <c r="F46" s="243"/>
      <c r="G46" s="243"/>
      <c r="H46" s="243"/>
      <c r="I46" s="243"/>
      <c r="J46" s="243"/>
      <c r="K46" s="243"/>
      <c r="L46" s="243"/>
      <c r="M46" s="243"/>
      <c r="N46" s="243"/>
      <c r="O46" s="243"/>
      <c r="P46" s="243"/>
      <c r="Q46" s="243"/>
      <c r="R46" s="243"/>
      <c r="S46" s="244"/>
      <c r="T46" s="190"/>
    </row>
    <row r="47" spans="1:20" ht="12.75">
      <c r="A47" s="242"/>
      <c r="B47" s="243"/>
      <c r="C47" s="243"/>
      <c r="D47" s="243"/>
      <c r="E47" s="243"/>
      <c r="F47" s="243"/>
      <c r="G47" s="243"/>
      <c r="H47" s="243"/>
      <c r="I47" s="243"/>
      <c r="J47" s="243"/>
      <c r="K47" s="243"/>
      <c r="L47" s="243"/>
      <c r="M47" s="243"/>
      <c r="N47" s="243"/>
      <c r="O47" s="243"/>
      <c r="P47" s="243"/>
      <c r="Q47" s="243"/>
      <c r="R47" s="243"/>
      <c r="S47" s="244"/>
      <c r="T47" s="13"/>
    </row>
    <row r="48" spans="1:20" ht="12.75">
      <c r="A48" s="245"/>
      <c r="B48" s="219"/>
      <c r="C48" s="219"/>
      <c r="D48" s="219"/>
      <c r="E48" s="219"/>
      <c r="F48" s="219"/>
      <c r="G48" s="219"/>
      <c r="H48" s="219"/>
      <c r="I48" s="219"/>
      <c r="J48" s="219"/>
      <c r="K48" s="219"/>
      <c r="L48" s="219"/>
      <c r="M48" s="219"/>
      <c r="N48" s="219"/>
      <c r="O48" s="219"/>
      <c r="P48" s="219"/>
      <c r="Q48" s="219"/>
      <c r="R48" s="219"/>
      <c r="S48" s="246"/>
      <c r="T48" s="13"/>
    </row>
    <row r="50" spans="1:20" ht="12.75">
      <c r="A50" t="s">
        <v>76</v>
      </c>
      <c r="D50" s="218"/>
      <c r="E50" s="218"/>
      <c r="F50" s="218"/>
      <c r="G50" s="218"/>
      <c r="H50" s="218"/>
      <c r="I50" s="218"/>
      <c r="J50" s="218"/>
      <c r="K50" s="218"/>
      <c r="L50" s="218"/>
      <c r="M50" s="218"/>
      <c r="N50" s="218"/>
      <c r="O50" t="s">
        <v>77</v>
      </c>
      <c r="P50" s="219"/>
      <c r="Q50" s="219"/>
      <c r="R50" s="219"/>
      <c r="S50" s="219"/>
      <c r="T50" s="2"/>
    </row>
    <row r="52" spans="1:20" ht="12.75">
      <c r="A52" s="238" t="s">
        <v>78</v>
      </c>
      <c r="B52" s="238"/>
      <c r="C52" s="238"/>
      <c r="D52" s="238"/>
      <c r="E52" s="238"/>
      <c r="F52" s="238"/>
      <c r="G52" s="238"/>
      <c r="H52" s="238"/>
      <c r="I52" s="238"/>
      <c r="J52" s="238"/>
      <c r="K52" s="238"/>
      <c r="L52" s="238"/>
      <c r="M52" s="238"/>
      <c r="N52" s="238"/>
      <c r="O52" s="238"/>
      <c r="P52" s="238"/>
      <c r="Q52" s="238"/>
      <c r="R52" s="238"/>
      <c r="S52" s="238"/>
      <c r="T52" s="14"/>
    </row>
    <row r="53" spans="1:20" ht="12.75">
      <c r="A53" s="238"/>
      <c r="B53" s="238"/>
      <c r="C53" s="238"/>
      <c r="D53" s="238"/>
      <c r="E53" s="238"/>
      <c r="F53" s="238"/>
      <c r="G53" s="238"/>
      <c r="H53" s="238"/>
      <c r="I53" s="238"/>
      <c r="J53" s="238"/>
      <c r="K53" s="238"/>
      <c r="L53" s="238"/>
      <c r="M53" s="238"/>
      <c r="N53" s="238"/>
      <c r="O53" s="238"/>
      <c r="P53" s="238"/>
      <c r="Q53" s="238"/>
      <c r="R53" s="238"/>
      <c r="S53" s="238"/>
      <c r="T53" s="14"/>
    </row>
  </sheetData>
  <sheetProtection password="DCC8" sheet="1"/>
  <mergeCells count="102">
    <mergeCell ref="C33:D33"/>
    <mergeCell ref="E33:F33"/>
    <mergeCell ref="O33:S33"/>
    <mergeCell ref="V18:V23"/>
    <mergeCell ref="O21:S23"/>
    <mergeCell ref="O31:S31"/>
    <mergeCell ref="O30:S30"/>
    <mergeCell ref="O29:S29"/>
    <mergeCell ref="G33:N33"/>
    <mergeCell ref="C32:D32"/>
    <mergeCell ref="AO17:AR17"/>
    <mergeCell ref="AO18:AO23"/>
    <mergeCell ref="AP18:AP23"/>
    <mergeCell ref="AQ18:AQ23"/>
    <mergeCell ref="AR18:AR23"/>
    <mergeCell ref="AG17:AJ17"/>
    <mergeCell ref="AG18:AG23"/>
    <mergeCell ref="AH18:AH23"/>
    <mergeCell ref="AJ18:AJ23"/>
    <mergeCell ref="AI18:AI23"/>
    <mergeCell ref="AK17:AN17"/>
    <mergeCell ref="AK18:AK23"/>
    <mergeCell ref="AL18:AL23"/>
    <mergeCell ref="AM18:AM23"/>
    <mergeCell ref="AN18:AN23"/>
    <mergeCell ref="AF18:AF23"/>
    <mergeCell ref="AC17:AF17"/>
    <mergeCell ref="AC18:AC23"/>
    <mergeCell ref="AE18:AE23"/>
    <mergeCell ref="AB18:AB23"/>
    <mergeCell ref="A25:B25"/>
    <mergeCell ref="A26:B26"/>
    <mergeCell ref="A31:B31"/>
    <mergeCell ref="A28:B28"/>
    <mergeCell ref="A29:B29"/>
    <mergeCell ref="A30:B30"/>
    <mergeCell ref="C31:D31"/>
    <mergeCell ref="E28:F28"/>
    <mergeCell ref="C26:D26"/>
    <mergeCell ref="T17:AB17"/>
    <mergeCell ref="A42:S42"/>
    <mergeCell ref="A52:S53"/>
    <mergeCell ref="A44:S48"/>
    <mergeCell ref="A40:S40"/>
    <mergeCell ref="AD18:AD23"/>
    <mergeCell ref="A32:B32"/>
    <mergeCell ref="T18:T23"/>
    <mergeCell ref="Z18:Z23"/>
    <mergeCell ref="W18:W23"/>
    <mergeCell ref="A33:B33"/>
    <mergeCell ref="AA18:AA23"/>
    <mergeCell ref="U18:U23"/>
    <mergeCell ref="Y18:Y23"/>
    <mergeCell ref="X18:X23"/>
    <mergeCell ref="O27:S27"/>
    <mergeCell ref="G32:N32"/>
    <mergeCell ref="G30:N30"/>
    <mergeCell ref="G25:N25"/>
    <mergeCell ref="G28:N28"/>
    <mergeCell ref="E32:F32"/>
    <mergeCell ref="O25:S25"/>
    <mergeCell ref="O26:S26"/>
    <mergeCell ref="O32:S32"/>
    <mergeCell ref="E31:F31"/>
    <mergeCell ref="O28:S28"/>
    <mergeCell ref="E30:F30"/>
    <mergeCell ref="A1:S1"/>
    <mergeCell ref="D14:J14"/>
    <mergeCell ref="D15:J15"/>
    <mergeCell ref="A3:S9"/>
    <mergeCell ref="A11:S12"/>
    <mergeCell ref="D50:N50"/>
    <mergeCell ref="P50:S50"/>
    <mergeCell ref="C30:D30"/>
    <mergeCell ref="C21:D23"/>
    <mergeCell ref="G21:N23"/>
    <mergeCell ref="A27:B27"/>
    <mergeCell ref="C27:D27"/>
    <mergeCell ref="E27:F27"/>
    <mergeCell ref="C29:D29"/>
    <mergeCell ref="G31:N31"/>
    <mergeCell ref="G29:N29"/>
    <mergeCell ref="E29:F29"/>
    <mergeCell ref="G24:N24"/>
    <mergeCell ref="C24:D24"/>
    <mergeCell ref="N15:S15"/>
    <mergeCell ref="N16:S16"/>
    <mergeCell ref="A19:S19"/>
    <mergeCell ref="A21:B23"/>
    <mergeCell ref="A24:B24"/>
    <mergeCell ref="E21:F23"/>
    <mergeCell ref="E24:F24"/>
    <mergeCell ref="N14:S14"/>
    <mergeCell ref="T34:T46"/>
    <mergeCell ref="O24:S24"/>
    <mergeCell ref="C28:D28"/>
    <mergeCell ref="E25:F25"/>
    <mergeCell ref="G26:N26"/>
    <mergeCell ref="E26:F26"/>
    <mergeCell ref="C25:D25"/>
    <mergeCell ref="G27:N27"/>
    <mergeCell ref="D16:J16"/>
  </mergeCells>
  <conditionalFormatting sqref="T29 T24:Z27 U28:Z29 AB24:AB32 T30:Z32">
    <cfRule type="cellIs" priority="13" dxfId="0" operator="greaterThanOrEqual" stopIfTrue="1">
      <formula>100</formula>
    </cfRule>
    <cfRule type="cellIs" priority="14" dxfId="1" operator="lessThan" stopIfTrue="1">
      <formula>100</formula>
    </cfRule>
  </conditionalFormatting>
  <conditionalFormatting sqref="AO30:AR30 AG30:AN31 AO32:AR32 AC27:AF32">
    <cfRule type="expression" priority="15" dxfId="77" stopIfTrue="1">
      <formula>AC27=""</formula>
    </cfRule>
  </conditionalFormatting>
  <conditionalFormatting sqref="T28">
    <cfRule type="expression" priority="16" dxfId="0" stopIfTrue="1">
      <formula>T28&gt;=100</formula>
    </cfRule>
    <cfRule type="cellIs" priority="17" dxfId="1" operator="between" stopIfTrue="1">
      <formula>0</formula>
      <formula>99.99</formula>
    </cfRule>
    <cfRule type="expression" priority="18" dxfId="74" stopIfTrue="1">
      <formula>ISBLANK(T28)</formula>
    </cfRule>
  </conditionalFormatting>
  <conditionalFormatting sqref="AA24:AA32">
    <cfRule type="expression" priority="19" dxfId="0" stopIfTrue="1">
      <formula>OR(AA24="NA",AA24&lt;100.01)</formula>
    </cfRule>
    <cfRule type="expression" priority="20" dxfId="1" stopIfTrue="1">
      <formula>AND(NOT(AA24="NA"),AA24&gt;=100.01)</formula>
    </cfRule>
  </conditionalFormatting>
  <conditionalFormatting sqref="T33">
    <cfRule type="expression" priority="22" dxfId="1" stopIfTrue="1">
      <formula>T33="FA"</formula>
    </cfRule>
    <cfRule type="expression" priority="23" dxfId="0" stopIfTrue="1">
      <formula>NOT(T33="FA")</formula>
    </cfRule>
  </conditionalFormatting>
  <hyperlinks>
    <hyperlink ref="G24:N24" location="'T3.11 Main Hoop Tubing'!A1" display="Main Roll Hoop Tubing"/>
    <hyperlink ref="G25:N25" location="'T3.12 Front Hoop Tubing'!A1" display="Front Roll Hoop Tubing"/>
    <hyperlink ref="G26:N26" location="'T3.13 Main Hoop Bracing'!A1" display="Main Roll Hoop Bracing Tubing"/>
    <hyperlink ref="G28:N28" location="'T3.14 T3.37 FHoop Bracing'!A1" display="Front Hoop Bracing - Tube Frames"/>
    <hyperlink ref="G29:N29" location="'T3.19 T3.32 Ft Bulkhead'!A1" display="Front Bulkhead - Tube Frames"/>
    <hyperlink ref="G30:N30" location="'T3.20 T3.33 FBH S''pt Structure'!A1" display="Front Bulkhead Support - Tube Frames"/>
    <hyperlink ref="G33:N33" location="'T3.21.6 IA AI Plate'!A1" display="Impact Attenuator Anti-Intrusion Plate"/>
    <hyperlink ref="G31:N31" location="'T3.25 T3.34 Side Impact Struct.'!A1" display="Side Impact Structure - Tube Frames"/>
    <hyperlink ref="G32:N32" location="'T5.4 Shoulder Harness Bar'!A1" display="Shoulder Harness Bar"/>
    <hyperlink ref="G27:N27" location="'T3.13.6 T3.37 MHoop Brace Spt'!A1" display="Main Hoop Bracing Support - Tube Frames"/>
  </hyperlinks>
  <printOptions horizontalCentered="1"/>
  <pageMargins left="0" right="0" top="0.3937007874015748" bottom="0.3937007874015748" header="0.5118110236220472" footer="0.5118110236220472"/>
  <pageSetup fitToWidth="2" horizontalDpi="600" verticalDpi="600" orientation="portrait" paperSize="9" scale="96" r:id="rId1"/>
  <colBreaks count="1" manualBreakCount="1">
    <brk id="19" max="65535" man="1"/>
  </colBreaks>
</worksheet>
</file>

<file path=xl/worksheets/sheet3.xml><?xml version="1.0" encoding="utf-8"?>
<worksheet xmlns="http://schemas.openxmlformats.org/spreadsheetml/2006/main" xmlns:r="http://schemas.openxmlformats.org/officeDocument/2006/relationships">
  <sheetPr codeName="Sheet3"/>
  <dimension ref="A1:AL63"/>
  <sheetViews>
    <sheetView showGridLines="0" zoomScaleSheetLayoutView="100" zoomScalePageLayoutView="0" workbookViewId="0" topLeftCell="A1">
      <selection activeCell="M13" sqref="M13"/>
    </sheetView>
  </sheetViews>
  <sheetFormatPr defaultColWidth="9.140625" defaultRowHeight="12.75"/>
  <cols>
    <col min="1" max="38" width="5.00390625" style="0" customWidth="1"/>
  </cols>
  <sheetData>
    <row r="1" spans="1:38" ht="12.75">
      <c r="A1" s="214" t="s">
        <v>215</v>
      </c>
      <c r="B1" s="214"/>
      <c r="C1" s="214"/>
      <c r="D1" s="214"/>
      <c r="E1" s="214"/>
      <c r="F1" s="214"/>
      <c r="G1" s="214"/>
      <c r="H1" s="214"/>
      <c r="I1" s="214"/>
      <c r="J1" s="214"/>
      <c r="K1" s="214"/>
      <c r="L1" s="214"/>
      <c r="M1" s="214"/>
      <c r="N1" s="214"/>
      <c r="O1" s="214"/>
      <c r="P1" s="214"/>
      <c r="Q1" s="214"/>
      <c r="R1" s="214"/>
      <c r="S1" s="214"/>
      <c r="T1" s="34"/>
      <c r="U1" s="35"/>
      <c r="V1" s="35"/>
      <c r="W1" s="35"/>
      <c r="X1" s="35"/>
      <c r="Y1" s="35"/>
      <c r="Z1" s="35"/>
      <c r="AA1" s="35"/>
      <c r="AB1" s="35"/>
      <c r="AC1" s="35"/>
      <c r="AD1" s="35"/>
      <c r="AE1" s="35"/>
      <c r="AF1" s="35"/>
      <c r="AG1" s="35"/>
      <c r="AH1" s="35"/>
      <c r="AI1" s="35"/>
      <c r="AJ1" s="35"/>
      <c r="AK1" s="35"/>
      <c r="AL1" s="36"/>
    </row>
    <row r="2" spans="20:38" ht="12.75">
      <c r="T2" s="37"/>
      <c r="U2" s="38"/>
      <c r="V2" s="38"/>
      <c r="W2" s="38"/>
      <c r="X2" s="38"/>
      <c r="Y2" s="38"/>
      <c r="Z2" s="38"/>
      <c r="AA2" s="38"/>
      <c r="AB2" s="38"/>
      <c r="AC2" s="38"/>
      <c r="AD2" s="38"/>
      <c r="AE2" s="38"/>
      <c r="AF2" s="38"/>
      <c r="AG2" s="38"/>
      <c r="AH2" s="38"/>
      <c r="AI2" s="38"/>
      <c r="AJ2" s="38"/>
      <c r="AK2" s="38"/>
      <c r="AL2" s="39"/>
    </row>
    <row r="3" spans="1:38" ht="12.75">
      <c r="A3" s="11" t="s">
        <v>203</v>
      </c>
      <c r="D3" s="263">
        <f>IF('Cover Sheet'!D14:J14&gt;0,'Cover Sheet'!D14:J14,"")</f>
      </c>
      <c r="E3" s="263"/>
      <c r="F3" s="263"/>
      <c r="G3" s="263"/>
      <c r="H3" s="263"/>
      <c r="I3" s="263"/>
      <c r="J3" s="263"/>
      <c r="K3" s="11" t="s">
        <v>202</v>
      </c>
      <c r="O3" s="263">
        <f>IF('Cover Sheet'!O14:S14&gt;0,'Cover Sheet'!O14:S14,"")</f>
      </c>
      <c r="P3" s="263"/>
      <c r="Q3" s="263"/>
      <c r="R3" s="263"/>
      <c r="S3" s="263"/>
      <c r="T3" s="37"/>
      <c r="U3" s="38"/>
      <c r="V3" s="38"/>
      <c r="W3" s="38"/>
      <c r="X3" s="38"/>
      <c r="Y3" s="38"/>
      <c r="Z3" s="38"/>
      <c r="AA3" s="38"/>
      <c r="AB3" s="38"/>
      <c r="AC3" s="38"/>
      <c r="AD3" s="38"/>
      <c r="AE3" s="38"/>
      <c r="AF3" s="38"/>
      <c r="AG3" s="38"/>
      <c r="AH3" s="38"/>
      <c r="AI3" s="38"/>
      <c r="AJ3" s="38"/>
      <c r="AK3" s="38"/>
      <c r="AL3" s="39"/>
    </row>
    <row r="4" spans="20:38" ht="12.75">
      <c r="T4" s="37"/>
      <c r="U4" s="38"/>
      <c r="V4" s="38"/>
      <c r="W4" s="38"/>
      <c r="X4" s="38"/>
      <c r="Y4" s="38"/>
      <c r="Z4" s="38"/>
      <c r="AA4" s="38"/>
      <c r="AB4" s="38"/>
      <c r="AC4" s="38"/>
      <c r="AD4" s="38"/>
      <c r="AE4" s="38"/>
      <c r="AF4" s="38"/>
      <c r="AG4" s="38"/>
      <c r="AH4" s="38"/>
      <c r="AI4" s="38"/>
      <c r="AJ4" s="38"/>
      <c r="AK4" s="38"/>
      <c r="AL4" s="39"/>
    </row>
    <row r="5" spans="1:38" ht="12.75" customHeight="1">
      <c r="A5" s="257" t="s">
        <v>79</v>
      </c>
      <c r="B5" s="258"/>
      <c r="C5" s="258"/>
      <c r="D5" s="258"/>
      <c r="E5" s="258"/>
      <c r="F5" s="258"/>
      <c r="G5" s="258"/>
      <c r="H5" s="258"/>
      <c r="I5" s="258"/>
      <c r="J5" s="258"/>
      <c r="K5" s="258"/>
      <c r="L5" s="258"/>
      <c r="M5" s="258"/>
      <c r="N5" s="258"/>
      <c r="O5" s="258"/>
      <c r="P5" s="258"/>
      <c r="Q5" s="258"/>
      <c r="R5" s="258"/>
      <c r="S5" s="258"/>
      <c r="T5" s="37"/>
      <c r="U5" s="38"/>
      <c r="V5" s="38"/>
      <c r="W5" s="38"/>
      <c r="X5" s="38"/>
      <c r="Y5" s="38"/>
      <c r="Z5" s="38"/>
      <c r="AA5" s="38"/>
      <c r="AB5" s="38"/>
      <c r="AC5" s="38"/>
      <c r="AD5" s="38"/>
      <c r="AE5" s="38"/>
      <c r="AF5" s="38"/>
      <c r="AG5" s="38"/>
      <c r="AH5" s="38"/>
      <c r="AI5" s="38"/>
      <c r="AJ5" s="38"/>
      <c r="AK5" s="38"/>
      <c r="AL5" s="39"/>
    </row>
    <row r="6" spans="1:38" ht="12.75">
      <c r="A6" s="259"/>
      <c r="B6" s="260"/>
      <c r="C6" s="260"/>
      <c r="D6" s="260"/>
      <c r="E6" s="260"/>
      <c r="F6" s="260"/>
      <c r="G6" s="260"/>
      <c r="H6" s="260"/>
      <c r="I6" s="260"/>
      <c r="J6" s="260"/>
      <c r="K6" s="260"/>
      <c r="L6" s="260"/>
      <c r="M6" s="260"/>
      <c r="N6" s="260"/>
      <c r="O6" s="260"/>
      <c r="P6" s="260"/>
      <c r="Q6" s="260"/>
      <c r="R6" s="260"/>
      <c r="S6" s="260"/>
      <c r="T6" s="37"/>
      <c r="U6" s="38"/>
      <c r="V6" s="38"/>
      <c r="W6" s="38"/>
      <c r="X6" s="38"/>
      <c r="Y6" s="38"/>
      <c r="Z6" s="38"/>
      <c r="AA6" s="38"/>
      <c r="AB6" s="38"/>
      <c r="AC6" s="38"/>
      <c r="AD6" s="38"/>
      <c r="AE6" s="38"/>
      <c r="AF6" s="38"/>
      <c r="AG6" s="38"/>
      <c r="AH6" s="38"/>
      <c r="AI6" s="38"/>
      <c r="AJ6" s="38"/>
      <c r="AK6" s="38"/>
      <c r="AL6" s="39"/>
    </row>
    <row r="7" spans="1:38" ht="12.75">
      <c r="A7" s="259"/>
      <c r="B7" s="260"/>
      <c r="C7" s="260"/>
      <c r="D7" s="260"/>
      <c r="E7" s="260"/>
      <c r="F7" s="260"/>
      <c r="G7" s="260"/>
      <c r="H7" s="260"/>
      <c r="I7" s="260"/>
      <c r="J7" s="260"/>
      <c r="K7" s="260"/>
      <c r="L7" s="260"/>
      <c r="M7" s="260"/>
      <c r="N7" s="260"/>
      <c r="O7" s="260"/>
      <c r="P7" s="260"/>
      <c r="Q7" s="260"/>
      <c r="R7" s="260"/>
      <c r="S7" s="260"/>
      <c r="T7" s="37"/>
      <c r="U7" s="38"/>
      <c r="V7" s="38"/>
      <c r="W7" s="38"/>
      <c r="X7" s="38"/>
      <c r="Y7" s="38"/>
      <c r="Z7" s="38"/>
      <c r="AA7" s="38"/>
      <c r="AB7" s="38"/>
      <c r="AC7" s="38"/>
      <c r="AD7" s="38"/>
      <c r="AE7" s="38"/>
      <c r="AF7" s="38"/>
      <c r="AG7" s="38"/>
      <c r="AH7" s="38"/>
      <c r="AI7" s="38"/>
      <c r="AJ7" s="38"/>
      <c r="AK7" s="38"/>
      <c r="AL7" s="39"/>
    </row>
    <row r="8" spans="1:38" ht="12.75">
      <c r="A8" s="261"/>
      <c r="B8" s="262"/>
      <c r="C8" s="262"/>
      <c r="D8" s="262"/>
      <c r="E8" s="262"/>
      <c r="F8" s="262"/>
      <c r="G8" s="262"/>
      <c r="H8" s="262"/>
      <c r="I8" s="262"/>
      <c r="J8" s="262"/>
      <c r="K8" s="262"/>
      <c r="L8" s="262"/>
      <c r="M8" s="262"/>
      <c r="N8" s="262"/>
      <c r="O8" s="262"/>
      <c r="P8" s="262"/>
      <c r="Q8" s="262"/>
      <c r="R8" s="262"/>
      <c r="S8" s="262"/>
      <c r="T8" s="37"/>
      <c r="U8" s="38"/>
      <c r="V8" s="38"/>
      <c r="W8" s="38"/>
      <c r="X8" s="38"/>
      <c r="Y8" s="38"/>
      <c r="Z8" s="38"/>
      <c r="AA8" s="38"/>
      <c r="AB8" s="38"/>
      <c r="AC8" s="38"/>
      <c r="AD8" s="38"/>
      <c r="AE8" s="38"/>
      <c r="AF8" s="38"/>
      <c r="AG8" s="38"/>
      <c r="AH8" s="38"/>
      <c r="AI8" s="38"/>
      <c r="AJ8" s="38"/>
      <c r="AK8" s="38"/>
      <c r="AL8" s="39"/>
    </row>
    <row r="9" spans="1:38" ht="12.75">
      <c r="A9" s="145" t="s">
        <v>154</v>
      </c>
      <c r="B9" s="146"/>
      <c r="C9" s="146"/>
      <c r="D9" s="146"/>
      <c r="E9" s="146"/>
      <c r="F9" s="146"/>
      <c r="G9" s="146"/>
      <c r="H9" s="146"/>
      <c r="I9" s="146"/>
      <c r="J9" s="146"/>
      <c r="K9" s="146"/>
      <c r="L9" s="146"/>
      <c r="M9" s="146"/>
      <c r="N9" s="146"/>
      <c r="O9" s="146"/>
      <c r="P9" s="146"/>
      <c r="Q9" s="146"/>
      <c r="R9" s="146"/>
      <c r="S9" s="147"/>
      <c r="T9" s="37"/>
      <c r="U9" s="38"/>
      <c r="V9" s="38"/>
      <c r="W9" s="38"/>
      <c r="X9" s="38"/>
      <c r="Y9" s="38"/>
      <c r="Z9" s="38"/>
      <c r="AA9" s="38"/>
      <c r="AB9" s="38"/>
      <c r="AC9" s="38"/>
      <c r="AD9" s="38"/>
      <c r="AE9" s="38"/>
      <c r="AF9" s="38"/>
      <c r="AG9" s="38"/>
      <c r="AH9" s="38"/>
      <c r="AI9" s="38"/>
      <c r="AJ9" s="38"/>
      <c r="AK9" s="38"/>
      <c r="AL9" s="39"/>
    </row>
    <row r="10" spans="1:38" ht="12.75">
      <c r="A10" s="148" t="s">
        <v>150</v>
      </c>
      <c r="B10" s="149"/>
      <c r="C10" s="149"/>
      <c r="D10" s="149"/>
      <c r="E10" s="149"/>
      <c r="F10" s="149"/>
      <c r="G10" s="149"/>
      <c r="H10" s="149"/>
      <c r="I10" s="149"/>
      <c r="J10" s="149"/>
      <c r="K10" s="149"/>
      <c r="L10" s="149"/>
      <c r="M10" s="149"/>
      <c r="N10" s="149"/>
      <c r="O10" s="149"/>
      <c r="P10" s="149"/>
      <c r="Q10" s="149"/>
      <c r="R10" s="149"/>
      <c r="S10" s="150"/>
      <c r="T10" s="37"/>
      <c r="U10" s="38"/>
      <c r="V10" s="38"/>
      <c r="W10" s="38"/>
      <c r="X10" s="38"/>
      <c r="Y10" s="38"/>
      <c r="Z10" s="38"/>
      <c r="AA10" s="38"/>
      <c r="AB10" s="38"/>
      <c r="AC10" s="38"/>
      <c r="AD10" s="38"/>
      <c r="AE10" s="38"/>
      <c r="AF10" s="38"/>
      <c r="AG10" s="38"/>
      <c r="AH10" s="38"/>
      <c r="AI10" s="38"/>
      <c r="AJ10" s="38"/>
      <c r="AK10" s="38"/>
      <c r="AL10" s="39"/>
    </row>
    <row r="11" spans="1:38" ht="12.75">
      <c r="A11" s="148" t="s">
        <v>151</v>
      </c>
      <c r="B11" s="149"/>
      <c r="C11" s="149"/>
      <c r="D11" s="149"/>
      <c r="E11" s="149"/>
      <c r="F11" s="149"/>
      <c r="G11" s="149"/>
      <c r="H11" s="149"/>
      <c r="I11" s="149"/>
      <c r="J11" s="149"/>
      <c r="K11" s="149"/>
      <c r="L11" s="149"/>
      <c r="M11" s="149"/>
      <c r="N11" s="149"/>
      <c r="O11" s="149"/>
      <c r="P11" s="149"/>
      <c r="Q11" s="149"/>
      <c r="R11" s="149"/>
      <c r="S11" s="150"/>
      <c r="T11" s="37"/>
      <c r="U11" s="38"/>
      <c r="V11" s="38"/>
      <c r="W11" s="38"/>
      <c r="X11" s="38"/>
      <c r="Y11" s="38"/>
      <c r="Z11" s="38"/>
      <c r="AA11" s="38"/>
      <c r="AB11" s="38"/>
      <c r="AC11" s="38"/>
      <c r="AD11" s="38"/>
      <c r="AE11" s="38"/>
      <c r="AF11" s="38"/>
      <c r="AG11" s="38"/>
      <c r="AH11" s="38"/>
      <c r="AI11" s="38"/>
      <c r="AJ11" s="38"/>
      <c r="AK11" s="38"/>
      <c r="AL11" s="39"/>
    </row>
    <row r="12" spans="1:38" ht="12.75">
      <c r="A12" s="148" t="s">
        <v>153</v>
      </c>
      <c r="B12" s="149"/>
      <c r="C12" s="149"/>
      <c r="D12" s="149"/>
      <c r="E12" s="149"/>
      <c r="F12" s="149"/>
      <c r="G12" s="149"/>
      <c r="H12" s="149"/>
      <c r="I12" s="149"/>
      <c r="J12" s="149"/>
      <c r="K12" s="149"/>
      <c r="L12" s="149"/>
      <c r="M12" s="149"/>
      <c r="N12" s="149"/>
      <c r="O12" s="149"/>
      <c r="P12" s="149"/>
      <c r="Q12" s="149"/>
      <c r="R12" s="149"/>
      <c r="S12" s="150"/>
      <c r="T12" s="37"/>
      <c r="U12" s="38"/>
      <c r="V12" s="38"/>
      <c r="W12" s="38"/>
      <c r="X12" s="38"/>
      <c r="Y12" s="38"/>
      <c r="Z12" s="38"/>
      <c r="AA12" s="38"/>
      <c r="AB12" s="38"/>
      <c r="AC12" s="38"/>
      <c r="AD12" s="38"/>
      <c r="AE12" s="38"/>
      <c r="AF12" s="38"/>
      <c r="AG12" s="38"/>
      <c r="AH12" s="38"/>
      <c r="AI12" s="38"/>
      <c r="AJ12" s="38"/>
      <c r="AK12" s="38"/>
      <c r="AL12" s="39"/>
    </row>
    <row r="13" spans="1:38" ht="12.75">
      <c r="A13" s="148" t="s">
        <v>152</v>
      </c>
      <c r="B13" s="149"/>
      <c r="C13" s="149"/>
      <c r="D13" s="149"/>
      <c r="E13" s="149"/>
      <c r="F13" s="149"/>
      <c r="G13" s="149"/>
      <c r="H13" s="149"/>
      <c r="I13" s="149"/>
      <c r="J13" s="149"/>
      <c r="K13" s="149"/>
      <c r="L13" s="149"/>
      <c r="M13" s="149"/>
      <c r="N13" s="149"/>
      <c r="O13" s="149"/>
      <c r="P13" s="149"/>
      <c r="Q13" s="149"/>
      <c r="R13" s="149"/>
      <c r="S13" s="150"/>
      <c r="T13" s="37"/>
      <c r="U13" s="38"/>
      <c r="V13" s="38"/>
      <c r="W13" s="38"/>
      <c r="X13" s="38"/>
      <c r="Y13" s="38"/>
      <c r="Z13" s="38"/>
      <c r="AA13" s="38"/>
      <c r="AB13" s="38"/>
      <c r="AC13" s="38"/>
      <c r="AD13" s="38"/>
      <c r="AE13" s="38"/>
      <c r="AF13" s="38"/>
      <c r="AG13" s="38"/>
      <c r="AH13" s="38"/>
      <c r="AI13" s="38"/>
      <c r="AJ13" s="38"/>
      <c r="AK13" s="38"/>
      <c r="AL13" s="39"/>
    </row>
    <row r="14" spans="1:38" ht="12.75">
      <c r="A14" s="151" t="s">
        <v>155</v>
      </c>
      <c r="B14" s="152"/>
      <c r="C14" s="152"/>
      <c r="D14" s="152"/>
      <c r="E14" s="152"/>
      <c r="F14" s="152"/>
      <c r="G14" s="152"/>
      <c r="H14" s="152"/>
      <c r="I14" s="152"/>
      <c r="J14" s="152"/>
      <c r="K14" s="152"/>
      <c r="L14" s="152"/>
      <c r="M14" s="152"/>
      <c r="N14" s="152"/>
      <c r="O14" s="152"/>
      <c r="P14" s="152"/>
      <c r="Q14" s="152"/>
      <c r="R14" s="152"/>
      <c r="S14" s="153"/>
      <c r="T14" s="37"/>
      <c r="U14" s="38"/>
      <c r="V14" s="38"/>
      <c r="W14" s="38"/>
      <c r="X14" s="38"/>
      <c r="Y14" s="38"/>
      <c r="Z14" s="38"/>
      <c r="AA14" s="38"/>
      <c r="AB14" s="38"/>
      <c r="AC14" s="38"/>
      <c r="AD14" s="38"/>
      <c r="AE14" s="38"/>
      <c r="AF14" s="38"/>
      <c r="AG14" s="38"/>
      <c r="AH14" s="38"/>
      <c r="AI14" s="38"/>
      <c r="AJ14" s="38"/>
      <c r="AK14" s="38"/>
      <c r="AL14" s="39"/>
    </row>
    <row r="15" spans="1:38" ht="12.75">
      <c r="A15" s="264"/>
      <c r="B15" s="265"/>
      <c r="C15" s="265"/>
      <c r="D15" s="265"/>
      <c r="E15" s="265"/>
      <c r="F15" s="265"/>
      <c r="G15" s="265"/>
      <c r="H15" s="265"/>
      <c r="I15" s="265"/>
      <c r="J15" s="265"/>
      <c r="K15" s="265"/>
      <c r="L15" s="265"/>
      <c r="M15" s="265"/>
      <c r="N15" s="265"/>
      <c r="O15" s="265"/>
      <c r="P15" s="265"/>
      <c r="Q15" s="265"/>
      <c r="R15" s="265"/>
      <c r="S15" s="266"/>
      <c r="T15" s="37"/>
      <c r="U15" s="38"/>
      <c r="V15" s="38"/>
      <c r="W15" s="38"/>
      <c r="X15" s="38"/>
      <c r="Y15" s="38"/>
      <c r="Z15" s="38"/>
      <c r="AA15" s="38"/>
      <c r="AB15" s="38"/>
      <c r="AC15" s="38"/>
      <c r="AD15" s="38"/>
      <c r="AE15" s="38"/>
      <c r="AF15" s="38"/>
      <c r="AG15" s="38"/>
      <c r="AH15" s="38"/>
      <c r="AI15" s="38"/>
      <c r="AJ15" s="38"/>
      <c r="AK15" s="38"/>
      <c r="AL15" s="39"/>
    </row>
    <row r="16" spans="1:38" ht="12.75">
      <c r="A16" s="267"/>
      <c r="B16" s="268"/>
      <c r="C16" s="268"/>
      <c r="D16" s="268"/>
      <c r="E16" s="268"/>
      <c r="F16" s="268"/>
      <c r="G16" s="268"/>
      <c r="H16" s="268"/>
      <c r="I16" s="268"/>
      <c r="J16" s="268"/>
      <c r="K16" s="268"/>
      <c r="L16" s="268"/>
      <c r="M16" s="268"/>
      <c r="N16" s="268"/>
      <c r="O16" s="268"/>
      <c r="P16" s="268"/>
      <c r="Q16" s="268"/>
      <c r="R16" s="268"/>
      <c r="S16" s="269"/>
      <c r="T16" s="37"/>
      <c r="U16" s="38"/>
      <c r="V16" s="38"/>
      <c r="W16" s="38"/>
      <c r="X16" s="38"/>
      <c r="Y16" s="38"/>
      <c r="Z16" s="38"/>
      <c r="AA16" s="38"/>
      <c r="AB16" s="38"/>
      <c r="AC16" s="38"/>
      <c r="AD16" s="38"/>
      <c r="AE16" s="38"/>
      <c r="AF16" s="38"/>
      <c r="AG16" s="38"/>
      <c r="AH16" s="38"/>
      <c r="AI16" s="38"/>
      <c r="AJ16" s="38"/>
      <c r="AK16" s="38"/>
      <c r="AL16" s="39"/>
    </row>
    <row r="17" spans="1:38" ht="12.75">
      <c r="A17" s="47"/>
      <c r="B17" s="65"/>
      <c r="C17" s="65"/>
      <c r="D17" s="65"/>
      <c r="E17" s="65"/>
      <c r="F17" s="65"/>
      <c r="G17" s="65"/>
      <c r="H17" s="65"/>
      <c r="I17" s="65"/>
      <c r="J17" s="65"/>
      <c r="K17" s="65"/>
      <c r="L17" s="65"/>
      <c r="M17" s="65"/>
      <c r="N17" s="65"/>
      <c r="O17" s="65"/>
      <c r="P17" s="65"/>
      <c r="Q17" s="65"/>
      <c r="R17" s="65"/>
      <c r="S17" s="180"/>
      <c r="T17" s="37"/>
      <c r="U17" s="38"/>
      <c r="V17" s="38"/>
      <c r="W17" s="38"/>
      <c r="X17" s="38"/>
      <c r="Y17" s="38"/>
      <c r="Z17" s="38"/>
      <c r="AA17" s="38"/>
      <c r="AB17" s="38"/>
      <c r="AC17" s="38"/>
      <c r="AD17" s="38"/>
      <c r="AE17" s="38"/>
      <c r="AF17" s="38"/>
      <c r="AG17" s="38"/>
      <c r="AH17" s="38"/>
      <c r="AI17" s="38"/>
      <c r="AJ17" s="38"/>
      <c r="AK17" s="38"/>
      <c r="AL17" s="39"/>
    </row>
    <row r="18" spans="1:38" ht="12.75">
      <c r="A18" s="47"/>
      <c r="B18" s="65"/>
      <c r="C18" s="65"/>
      <c r="D18" s="65"/>
      <c r="E18" s="65"/>
      <c r="F18" s="65"/>
      <c r="G18" s="65"/>
      <c r="H18" s="65"/>
      <c r="I18" s="65"/>
      <c r="J18" s="65"/>
      <c r="K18" s="65"/>
      <c r="L18" s="65"/>
      <c r="M18" s="65"/>
      <c r="N18" s="65"/>
      <c r="O18" s="65"/>
      <c r="P18" s="65"/>
      <c r="Q18" s="65"/>
      <c r="R18" s="65"/>
      <c r="S18" s="180"/>
      <c r="T18" s="37"/>
      <c r="U18" s="38"/>
      <c r="V18" s="38"/>
      <c r="W18" s="38"/>
      <c r="X18" s="38"/>
      <c r="Y18" s="38"/>
      <c r="Z18" s="38"/>
      <c r="AA18" s="38"/>
      <c r="AB18" s="38"/>
      <c r="AC18" s="38"/>
      <c r="AD18" s="38"/>
      <c r="AE18" s="38"/>
      <c r="AF18" s="38"/>
      <c r="AG18" s="38"/>
      <c r="AH18" s="38"/>
      <c r="AI18" s="38"/>
      <c r="AJ18" s="38"/>
      <c r="AK18" s="38"/>
      <c r="AL18" s="39"/>
    </row>
    <row r="19" spans="1:38" ht="12.75">
      <c r="A19" s="47"/>
      <c r="B19" s="65"/>
      <c r="C19" s="65"/>
      <c r="D19" s="65"/>
      <c r="E19" s="65"/>
      <c r="F19" s="65"/>
      <c r="G19" s="65"/>
      <c r="H19" s="65"/>
      <c r="I19" s="65"/>
      <c r="J19" s="65"/>
      <c r="K19" s="65"/>
      <c r="L19" s="65"/>
      <c r="M19" s="65"/>
      <c r="N19" s="65"/>
      <c r="O19" s="65"/>
      <c r="P19" s="65"/>
      <c r="Q19" s="65"/>
      <c r="R19" s="65"/>
      <c r="S19" s="180"/>
      <c r="T19" s="37"/>
      <c r="U19" s="38"/>
      <c r="V19" s="38"/>
      <c r="W19" s="38"/>
      <c r="X19" s="38"/>
      <c r="Y19" s="38"/>
      <c r="Z19" s="38"/>
      <c r="AA19" s="38"/>
      <c r="AB19" s="38"/>
      <c r="AC19" s="38"/>
      <c r="AD19" s="38"/>
      <c r="AE19" s="38"/>
      <c r="AF19" s="38"/>
      <c r="AG19" s="38"/>
      <c r="AH19" s="38"/>
      <c r="AI19" s="38"/>
      <c r="AJ19" s="38"/>
      <c r="AK19" s="38"/>
      <c r="AL19" s="39"/>
    </row>
    <row r="20" spans="1:38" ht="12.75">
      <c r="A20" s="47"/>
      <c r="B20" s="65"/>
      <c r="C20" s="65"/>
      <c r="D20" s="65"/>
      <c r="E20" s="65"/>
      <c r="F20" s="65"/>
      <c r="G20" s="65"/>
      <c r="H20" s="65"/>
      <c r="I20" s="65"/>
      <c r="J20" s="65"/>
      <c r="K20" s="65"/>
      <c r="L20" s="65"/>
      <c r="M20" s="65"/>
      <c r="N20" s="65"/>
      <c r="O20" s="65"/>
      <c r="P20" s="65"/>
      <c r="Q20" s="65"/>
      <c r="R20" s="65"/>
      <c r="S20" s="180"/>
      <c r="T20" s="37"/>
      <c r="U20" s="38"/>
      <c r="V20" s="38"/>
      <c r="W20" s="38"/>
      <c r="X20" s="38"/>
      <c r="Y20" s="38"/>
      <c r="Z20" s="38"/>
      <c r="AA20" s="38"/>
      <c r="AB20" s="38"/>
      <c r="AC20" s="38"/>
      <c r="AD20" s="38"/>
      <c r="AE20" s="38"/>
      <c r="AF20" s="38"/>
      <c r="AG20" s="38"/>
      <c r="AH20" s="38"/>
      <c r="AI20" s="38"/>
      <c r="AJ20" s="38"/>
      <c r="AK20" s="38"/>
      <c r="AL20" s="39"/>
    </row>
    <row r="21" spans="1:38" ht="12.75">
      <c r="A21" s="47"/>
      <c r="B21" s="65"/>
      <c r="C21" s="65"/>
      <c r="D21" s="65"/>
      <c r="E21" s="65"/>
      <c r="F21" s="65"/>
      <c r="G21" s="65"/>
      <c r="H21" s="65"/>
      <c r="I21" s="65"/>
      <c r="J21" s="65"/>
      <c r="K21" s="65"/>
      <c r="L21" s="65"/>
      <c r="M21" s="65"/>
      <c r="N21" s="65"/>
      <c r="O21" s="65"/>
      <c r="P21" s="65"/>
      <c r="Q21" s="65"/>
      <c r="R21" s="65"/>
      <c r="S21" s="180"/>
      <c r="T21" s="37"/>
      <c r="U21" s="38"/>
      <c r="V21" s="38"/>
      <c r="W21" s="38"/>
      <c r="X21" s="38"/>
      <c r="Y21" s="38"/>
      <c r="Z21" s="38"/>
      <c r="AA21" s="38"/>
      <c r="AB21" s="38"/>
      <c r="AC21" s="38"/>
      <c r="AD21" s="38"/>
      <c r="AE21" s="38"/>
      <c r="AF21" s="38"/>
      <c r="AG21" s="38"/>
      <c r="AH21" s="38"/>
      <c r="AI21" s="38"/>
      <c r="AJ21" s="38"/>
      <c r="AK21" s="38"/>
      <c r="AL21" s="39"/>
    </row>
    <row r="22" spans="1:38" ht="12.75">
      <c r="A22" s="47"/>
      <c r="B22" s="65"/>
      <c r="C22" s="65"/>
      <c r="D22" s="65"/>
      <c r="E22" s="65"/>
      <c r="F22" s="65"/>
      <c r="G22" s="65"/>
      <c r="H22" s="65"/>
      <c r="I22" s="65"/>
      <c r="J22" s="65"/>
      <c r="K22" s="65"/>
      <c r="L22" s="65"/>
      <c r="M22" s="65"/>
      <c r="N22" s="65"/>
      <c r="O22" s="65"/>
      <c r="P22" s="65"/>
      <c r="Q22" s="65"/>
      <c r="R22" s="65"/>
      <c r="S22" s="180"/>
      <c r="T22" s="37"/>
      <c r="U22" s="38"/>
      <c r="V22" s="38"/>
      <c r="W22" s="38"/>
      <c r="X22" s="38"/>
      <c r="Y22" s="38"/>
      <c r="Z22" s="38"/>
      <c r="AA22" s="38"/>
      <c r="AB22" s="38"/>
      <c r="AC22" s="38"/>
      <c r="AD22" s="38"/>
      <c r="AE22" s="38"/>
      <c r="AF22" s="38"/>
      <c r="AG22" s="38"/>
      <c r="AH22" s="38"/>
      <c r="AI22" s="38"/>
      <c r="AJ22" s="38"/>
      <c r="AK22" s="38"/>
      <c r="AL22" s="39"/>
    </row>
    <row r="23" spans="1:38" ht="12.75">
      <c r="A23" s="47"/>
      <c r="B23" s="65"/>
      <c r="C23" s="65"/>
      <c r="D23" s="65"/>
      <c r="E23" s="65"/>
      <c r="F23" s="65"/>
      <c r="G23" s="65"/>
      <c r="H23" s="65"/>
      <c r="I23" s="65"/>
      <c r="J23" s="65"/>
      <c r="K23" s="65"/>
      <c r="L23" s="65"/>
      <c r="M23" s="65"/>
      <c r="N23" s="65"/>
      <c r="O23" s="65"/>
      <c r="P23" s="65"/>
      <c r="Q23" s="65"/>
      <c r="R23" s="65"/>
      <c r="S23" s="180"/>
      <c r="T23" s="37"/>
      <c r="U23" s="38"/>
      <c r="V23" s="38"/>
      <c r="W23" s="38"/>
      <c r="X23" s="38"/>
      <c r="Y23" s="38"/>
      <c r="Z23" s="38"/>
      <c r="AA23" s="38"/>
      <c r="AB23" s="38"/>
      <c r="AC23" s="38"/>
      <c r="AD23" s="38"/>
      <c r="AE23" s="38"/>
      <c r="AF23" s="38"/>
      <c r="AG23" s="38"/>
      <c r="AH23" s="38"/>
      <c r="AI23" s="38"/>
      <c r="AJ23" s="38"/>
      <c r="AK23" s="38"/>
      <c r="AL23" s="39"/>
    </row>
    <row r="24" spans="1:38" ht="12.75">
      <c r="A24" s="47"/>
      <c r="B24" s="65"/>
      <c r="C24" s="65"/>
      <c r="D24" s="65"/>
      <c r="E24" s="65"/>
      <c r="F24" s="65"/>
      <c r="G24" s="65"/>
      <c r="H24" s="65"/>
      <c r="I24" s="65"/>
      <c r="J24" s="65"/>
      <c r="K24" s="65"/>
      <c r="L24" s="65"/>
      <c r="M24" s="65"/>
      <c r="N24" s="65"/>
      <c r="O24" s="65"/>
      <c r="P24" s="65"/>
      <c r="Q24" s="65"/>
      <c r="R24" s="65"/>
      <c r="S24" s="180"/>
      <c r="T24" s="37"/>
      <c r="U24" s="38"/>
      <c r="V24" s="38"/>
      <c r="W24" s="38"/>
      <c r="X24" s="38"/>
      <c r="Y24" s="38"/>
      <c r="Z24" s="38"/>
      <c r="AA24" s="38"/>
      <c r="AB24" s="38"/>
      <c r="AC24" s="38"/>
      <c r="AD24" s="38"/>
      <c r="AE24" s="38"/>
      <c r="AF24" s="38"/>
      <c r="AG24" s="38"/>
      <c r="AH24" s="38"/>
      <c r="AI24" s="38"/>
      <c r="AJ24" s="38"/>
      <c r="AK24" s="38"/>
      <c r="AL24" s="39"/>
    </row>
    <row r="25" spans="1:38" ht="12.75">
      <c r="A25" s="47"/>
      <c r="B25" s="65"/>
      <c r="C25" s="65"/>
      <c r="D25" s="65"/>
      <c r="E25" s="65"/>
      <c r="F25" s="65"/>
      <c r="G25" s="65"/>
      <c r="H25" s="65"/>
      <c r="I25" s="65"/>
      <c r="J25" s="65"/>
      <c r="K25" s="65"/>
      <c r="L25" s="65"/>
      <c r="M25" s="65"/>
      <c r="N25" s="65"/>
      <c r="O25" s="65"/>
      <c r="P25" s="65"/>
      <c r="Q25" s="65"/>
      <c r="R25" s="65"/>
      <c r="S25" s="180"/>
      <c r="T25" s="37"/>
      <c r="U25" s="38"/>
      <c r="V25" s="38"/>
      <c r="W25" s="38"/>
      <c r="X25" s="38"/>
      <c r="Y25" s="38"/>
      <c r="Z25" s="38"/>
      <c r="AA25" s="38"/>
      <c r="AB25" s="38"/>
      <c r="AC25" s="38"/>
      <c r="AD25" s="38"/>
      <c r="AE25" s="38"/>
      <c r="AF25" s="38"/>
      <c r="AG25" s="38"/>
      <c r="AH25" s="38"/>
      <c r="AI25" s="38"/>
      <c r="AJ25" s="38"/>
      <c r="AK25" s="38"/>
      <c r="AL25" s="39"/>
    </row>
    <row r="26" spans="1:38" ht="12.75">
      <c r="A26" s="47"/>
      <c r="B26" s="65"/>
      <c r="C26" s="65"/>
      <c r="D26" s="65"/>
      <c r="E26" s="65"/>
      <c r="F26" s="65"/>
      <c r="G26" s="65"/>
      <c r="H26" s="65"/>
      <c r="I26" s="65"/>
      <c r="J26" s="65"/>
      <c r="K26" s="65"/>
      <c r="L26" s="65"/>
      <c r="M26" s="65"/>
      <c r="N26" s="65"/>
      <c r="O26" s="65"/>
      <c r="P26" s="65"/>
      <c r="Q26" s="65"/>
      <c r="R26" s="65"/>
      <c r="S26" s="180"/>
      <c r="T26" s="37"/>
      <c r="U26" s="38"/>
      <c r="V26" s="38"/>
      <c r="W26" s="38"/>
      <c r="X26" s="38"/>
      <c r="Y26" s="38"/>
      <c r="Z26" s="38"/>
      <c r="AA26" s="38"/>
      <c r="AB26" s="38"/>
      <c r="AC26" s="38"/>
      <c r="AD26" s="38"/>
      <c r="AE26" s="38"/>
      <c r="AF26" s="38"/>
      <c r="AG26" s="38"/>
      <c r="AH26" s="38"/>
      <c r="AI26" s="38"/>
      <c r="AJ26" s="38"/>
      <c r="AK26" s="38"/>
      <c r="AL26" s="39"/>
    </row>
    <row r="27" spans="1:38" ht="12.75">
      <c r="A27" s="47"/>
      <c r="B27" s="65"/>
      <c r="C27" s="65"/>
      <c r="D27" s="65"/>
      <c r="E27" s="65"/>
      <c r="F27" s="65"/>
      <c r="G27" s="65"/>
      <c r="H27" s="65"/>
      <c r="I27" s="65"/>
      <c r="J27" s="65"/>
      <c r="K27" s="65"/>
      <c r="L27" s="65"/>
      <c r="M27" s="65"/>
      <c r="N27" s="65"/>
      <c r="O27" s="65"/>
      <c r="P27" s="65"/>
      <c r="Q27" s="65"/>
      <c r="R27" s="65"/>
      <c r="S27" s="180"/>
      <c r="T27" s="37"/>
      <c r="U27" s="38"/>
      <c r="V27" s="38"/>
      <c r="W27" s="38"/>
      <c r="X27" s="38"/>
      <c r="Y27" s="38"/>
      <c r="Z27" s="38"/>
      <c r="AA27" s="38"/>
      <c r="AB27" s="38"/>
      <c r="AC27" s="38"/>
      <c r="AD27" s="38"/>
      <c r="AE27" s="38"/>
      <c r="AF27" s="38"/>
      <c r="AG27" s="38"/>
      <c r="AH27" s="38"/>
      <c r="AI27" s="38"/>
      <c r="AJ27" s="38"/>
      <c r="AK27" s="38"/>
      <c r="AL27" s="39"/>
    </row>
    <row r="28" spans="1:38" ht="12.75">
      <c r="A28" s="47"/>
      <c r="B28" s="65"/>
      <c r="C28" s="65"/>
      <c r="D28" s="65"/>
      <c r="E28" s="65"/>
      <c r="F28" s="65"/>
      <c r="G28" s="65"/>
      <c r="H28" s="65"/>
      <c r="I28" s="65"/>
      <c r="J28" s="65"/>
      <c r="K28" s="65"/>
      <c r="L28" s="65"/>
      <c r="M28" s="65"/>
      <c r="N28" s="65"/>
      <c r="O28" s="65"/>
      <c r="P28" s="65"/>
      <c r="Q28" s="65"/>
      <c r="R28" s="65"/>
      <c r="S28" s="180"/>
      <c r="T28" s="37"/>
      <c r="U28" s="38"/>
      <c r="V28" s="38"/>
      <c r="W28" s="38"/>
      <c r="X28" s="38"/>
      <c r="Y28" s="38"/>
      <c r="Z28" s="38"/>
      <c r="AA28" s="38"/>
      <c r="AB28" s="38"/>
      <c r="AC28" s="38"/>
      <c r="AD28" s="38"/>
      <c r="AE28" s="38"/>
      <c r="AF28" s="38"/>
      <c r="AG28" s="38"/>
      <c r="AH28" s="38"/>
      <c r="AI28" s="38"/>
      <c r="AJ28" s="38"/>
      <c r="AK28" s="38"/>
      <c r="AL28" s="39"/>
    </row>
    <row r="29" spans="1:38" ht="12.75">
      <c r="A29" s="47"/>
      <c r="B29" s="65"/>
      <c r="C29" s="65"/>
      <c r="D29" s="65"/>
      <c r="E29" s="65"/>
      <c r="F29" s="65"/>
      <c r="G29" s="65"/>
      <c r="H29" s="65"/>
      <c r="I29" s="65"/>
      <c r="J29" s="65"/>
      <c r="K29" s="65"/>
      <c r="L29" s="65"/>
      <c r="M29" s="65"/>
      <c r="N29" s="65"/>
      <c r="O29" s="65"/>
      <c r="P29" s="65"/>
      <c r="Q29" s="65"/>
      <c r="R29" s="65"/>
      <c r="S29" s="180"/>
      <c r="T29" s="37"/>
      <c r="U29" s="38"/>
      <c r="V29" s="38"/>
      <c r="W29" s="38"/>
      <c r="X29" s="38"/>
      <c r="Y29" s="38"/>
      <c r="Z29" s="38"/>
      <c r="AA29" s="38"/>
      <c r="AB29" s="38"/>
      <c r="AC29" s="38"/>
      <c r="AD29" s="38"/>
      <c r="AE29" s="38"/>
      <c r="AF29" s="38"/>
      <c r="AG29" s="38"/>
      <c r="AH29" s="38"/>
      <c r="AI29" s="38"/>
      <c r="AJ29" s="38"/>
      <c r="AK29" s="38"/>
      <c r="AL29" s="39"/>
    </row>
    <row r="30" spans="1:38" ht="12.75">
      <c r="A30" s="47"/>
      <c r="B30" s="65"/>
      <c r="C30" s="65"/>
      <c r="D30" s="65"/>
      <c r="E30" s="65"/>
      <c r="F30" s="65"/>
      <c r="G30" s="65"/>
      <c r="H30" s="65"/>
      <c r="I30" s="65"/>
      <c r="J30" s="65"/>
      <c r="K30" s="65"/>
      <c r="L30" s="65"/>
      <c r="M30" s="65"/>
      <c r="N30" s="65"/>
      <c r="O30" s="65"/>
      <c r="P30" s="65"/>
      <c r="Q30" s="65"/>
      <c r="R30" s="65"/>
      <c r="S30" s="180"/>
      <c r="T30" s="37"/>
      <c r="U30" s="38"/>
      <c r="V30" s="38"/>
      <c r="W30" s="38"/>
      <c r="X30" s="38"/>
      <c r="Y30" s="38"/>
      <c r="Z30" s="38"/>
      <c r="AA30" s="38"/>
      <c r="AB30" s="38"/>
      <c r="AC30" s="38"/>
      <c r="AD30" s="38"/>
      <c r="AE30" s="38"/>
      <c r="AF30" s="38"/>
      <c r="AG30" s="38"/>
      <c r="AH30" s="38"/>
      <c r="AI30" s="38"/>
      <c r="AJ30" s="38"/>
      <c r="AK30" s="38"/>
      <c r="AL30" s="39"/>
    </row>
    <row r="31" spans="1:38" ht="12.75">
      <c r="A31" s="47"/>
      <c r="B31" s="65"/>
      <c r="C31" s="65"/>
      <c r="D31" s="65"/>
      <c r="E31" s="65"/>
      <c r="F31" s="65"/>
      <c r="G31" s="65"/>
      <c r="H31" s="65"/>
      <c r="I31" s="65"/>
      <c r="J31" s="65"/>
      <c r="K31" s="65"/>
      <c r="L31" s="65"/>
      <c r="M31" s="65"/>
      <c r="N31" s="65"/>
      <c r="O31" s="65"/>
      <c r="P31" s="65"/>
      <c r="Q31" s="65"/>
      <c r="R31" s="65"/>
      <c r="S31" s="180"/>
      <c r="T31" s="37"/>
      <c r="U31" s="38"/>
      <c r="V31" s="38"/>
      <c r="W31" s="38"/>
      <c r="X31" s="38"/>
      <c r="Y31" s="38"/>
      <c r="Z31" s="38"/>
      <c r="AA31" s="38"/>
      <c r="AB31" s="38"/>
      <c r="AC31" s="38"/>
      <c r="AD31" s="38"/>
      <c r="AE31" s="38"/>
      <c r="AF31" s="38"/>
      <c r="AG31" s="38"/>
      <c r="AH31" s="38"/>
      <c r="AI31" s="38"/>
      <c r="AJ31" s="38"/>
      <c r="AK31" s="38"/>
      <c r="AL31" s="39"/>
    </row>
    <row r="32" spans="1:38" ht="12.75">
      <c r="A32" s="47"/>
      <c r="B32" s="65"/>
      <c r="C32" s="65"/>
      <c r="D32" s="65"/>
      <c r="E32" s="65"/>
      <c r="F32" s="65"/>
      <c r="G32" s="65"/>
      <c r="H32" s="65"/>
      <c r="I32" s="65"/>
      <c r="J32" s="65"/>
      <c r="K32" s="65"/>
      <c r="L32" s="65"/>
      <c r="M32" s="65"/>
      <c r="N32" s="65"/>
      <c r="O32" s="65"/>
      <c r="P32" s="65"/>
      <c r="Q32" s="65"/>
      <c r="R32" s="65"/>
      <c r="S32" s="180"/>
      <c r="T32" s="37"/>
      <c r="U32" s="38"/>
      <c r="V32" s="38"/>
      <c r="W32" s="38"/>
      <c r="X32" s="38"/>
      <c r="Y32" s="38"/>
      <c r="Z32" s="38"/>
      <c r="AA32" s="38"/>
      <c r="AB32" s="38"/>
      <c r="AC32" s="38"/>
      <c r="AD32" s="38"/>
      <c r="AE32" s="38"/>
      <c r="AF32" s="38"/>
      <c r="AG32" s="38"/>
      <c r="AH32" s="38"/>
      <c r="AI32" s="38"/>
      <c r="AJ32" s="38"/>
      <c r="AK32" s="38"/>
      <c r="AL32" s="39"/>
    </row>
    <row r="33" spans="1:38" ht="12.75">
      <c r="A33" s="47"/>
      <c r="B33" s="65"/>
      <c r="C33" s="65"/>
      <c r="D33" s="65"/>
      <c r="E33" s="65"/>
      <c r="F33" s="65"/>
      <c r="G33" s="65"/>
      <c r="H33" s="65"/>
      <c r="I33" s="65"/>
      <c r="J33" s="65"/>
      <c r="K33" s="65"/>
      <c r="L33" s="65"/>
      <c r="M33" s="65"/>
      <c r="N33" s="65"/>
      <c r="O33" s="65"/>
      <c r="P33" s="65"/>
      <c r="Q33" s="65"/>
      <c r="R33" s="65"/>
      <c r="S33" s="180"/>
      <c r="T33" s="37"/>
      <c r="U33" s="38"/>
      <c r="V33" s="38"/>
      <c r="W33" s="38"/>
      <c r="X33" s="38"/>
      <c r="Y33" s="38"/>
      <c r="Z33" s="38"/>
      <c r="AA33" s="38"/>
      <c r="AB33" s="38"/>
      <c r="AC33" s="38"/>
      <c r="AD33" s="38"/>
      <c r="AE33" s="38"/>
      <c r="AF33" s="38"/>
      <c r="AG33" s="38"/>
      <c r="AH33" s="38"/>
      <c r="AI33" s="38"/>
      <c r="AJ33" s="38"/>
      <c r="AK33" s="38"/>
      <c r="AL33" s="39"/>
    </row>
    <row r="34" spans="1:38" ht="12.75">
      <c r="A34" s="47"/>
      <c r="B34" s="65"/>
      <c r="C34" s="65"/>
      <c r="D34" s="65"/>
      <c r="E34" s="65"/>
      <c r="F34" s="65"/>
      <c r="G34" s="65"/>
      <c r="H34" s="65"/>
      <c r="I34" s="65"/>
      <c r="J34" s="65"/>
      <c r="K34" s="65"/>
      <c r="L34" s="65"/>
      <c r="M34" s="65"/>
      <c r="N34" s="65"/>
      <c r="O34" s="65"/>
      <c r="P34" s="65"/>
      <c r="Q34" s="65"/>
      <c r="R34" s="65"/>
      <c r="S34" s="180"/>
      <c r="T34" s="37"/>
      <c r="U34" s="38"/>
      <c r="V34" s="38"/>
      <c r="W34" s="38"/>
      <c r="X34" s="38"/>
      <c r="Y34" s="38"/>
      <c r="Z34" s="38"/>
      <c r="AA34" s="38"/>
      <c r="AB34" s="38"/>
      <c r="AC34" s="38"/>
      <c r="AD34" s="38"/>
      <c r="AE34" s="38"/>
      <c r="AF34" s="38"/>
      <c r="AG34" s="38"/>
      <c r="AH34" s="38"/>
      <c r="AI34" s="38"/>
      <c r="AJ34" s="38"/>
      <c r="AK34" s="38"/>
      <c r="AL34" s="39"/>
    </row>
    <row r="35" spans="1:38" ht="12.75">
      <c r="A35" s="47"/>
      <c r="B35" s="65"/>
      <c r="C35" s="65"/>
      <c r="D35" s="65"/>
      <c r="E35" s="65"/>
      <c r="F35" s="65"/>
      <c r="G35" s="65"/>
      <c r="H35" s="65"/>
      <c r="I35" s="65"/>
      <c r="J35" s="65"/>
      <c r="K35" s="65"/>
      <c r="L35" s="65"/>
      <c r="M35" s="65"/>
      <c r="N35" s="65"/>
      <c r="O35" s="65"/>
      <c r="P35" s="65"/>
      <c r="Q35" s="65"/>
      <c r="R35" s="65"/>
      <c r="S35" s="180"/>
      <c r="T35" s="37"/>
      <c r="U35" s="38"/>
      <c r="V35" s="38"/>
      <c r="W35" s="38"/>
      <c r="X35" s="38"/>
      <c r="Y35" s="38"/>
      <c r="Z35" s="38"/>
      <c r="AA35" s="38"/>
      <c r="AB35" s="38"/>
      <c r="AC35" s="38"/>
      <c r="AD35" s="38"/>
      <c r="AE35" s="38"/>
      <c r="AF35" s="38"/>
      <c r="AG35" s="38"/>
      <c r="AH35" s="38"/>
      <c r="AI35" s="38"/>
      <c r="AJ35" s="38"/>
      <c r="AK35" s="38"/>
      <c r="AL35" s="39"/>
    </row>
    <row r="36" spans="1:38" ht="12.75">
      <c r="A36" s="47"/>
      <c r="B36" s="65"/>
      <c r="C36" s="65"/>
      <c r="D36" s="65"/>
      <c r="E36" s="65"/>
      <c r="F36" s="65"/>
      <c r="G36" s="65"/>
      <c r="H36" s="65"/>
      <c r="I36" s="65"/>
      <c r="J36" s="65"/>
      <c r="K36" s="65"/>
      <c r="L36" s="65"/>
      <c r="M36" s="65"/>
      <c r="N36" s="65"/>
      <c r="O36" s="65"/>
      <c r="P36" s="65"/>
      <c r="Q36" s="65"/>
      <c r="R36" s="65"/>
      <c r="S36" s="180"/>
      <c r="T36" s="37"/>
      <c r="U36" s="38"/>
      <c r="V36" s="38"/>
      <c r="W36" s="38"/>
      <c r="X36" s="38"/>
      <c r="Y36" s="38"/>
      <c r="Z36" s="38"/>
      <c r="AA36" s="38"/>
      <c r="AB36" s="38"/>
      <c r="AC36" s="38"/>
      <c r="AD36" s="38"/>
      <c r="AE36" s="38"/>
      <c r="AF36" s="38"/>
      <c r="AG36" s="38"/>
      <c r="AH36" s="38"/>
      <c r="AI36" s="38"/>
      <c r="AJ36" s="38"/>
      <c r="AK36" s="38"/>
      <c r="AL36" s="39"/>
    </row>
    <row r="37" spans="1:38" ht="12.75">
      <c r="A37" s="47"/>
      <c r="B37" s="65"/>
      <c r="C37" s="65"/>
      <c r="D37" s="65"/>
      <c r="E37" s="65"/>
      <c r="F37" s="65"/>
      <c r="G37" s="65"/>
      <c r="H37" s="65"/>
      <c r="I37" s="65"/>
      <c r="J37" s="65"/>
      <c r="K37" s="65"/>
      <c r="L37" s="65"/>
      <c r="M37" s="65"/>
      <c r="N37" s="65"/>
      <c r="O37" s="65"/>
      <c r="P37" s="65"/>
      <c r="Q37" s="65"/>
      <c r="R37" s="65"/>
      <c r="S37" s="180"/>
      <c r="T37" s="37"/>
      <c r="U37" s="38"/>
      <c r="V37" s="38"/>
      <c r="W37" s="38"/>
      <c r="X37" s="38"/>
      <c r="Y37" s="38"/>
      <c r="Z37" s="38"/>
      <c r="AA37" s="38"/>
      <c r="AB37" s="38"/>
      <c r="AC37" s="38"/>
      <c r="AD37" s="38"/>
      <c r="AE37" s="38"/>
      <c r="AF37" s="38"/>
      <c r="AG37" s="38"/>
      <c r="AH37" s="38"/>
      <c r="AI37" s="38"/>
      <c r="AJ37" s="38"/>
      <c r="AK37" s="38"/>
      <c r="AL37" s="39"/>
    </row>
    <row r="38" spans="1:38" ht="12.75">
      <c r="A38" s="47"/>
      <c r="B38" s="65"/>
      <c r="C38" s="65"/>
      <c r="D38" s="65"/>
      <c r="E38" s="65"/>
      <c r="F38" s="65"/>
      <c r="G38" s="65"/>
      <c r="H38" s="65"/>
      <c r="I38" s="65"/>
      <c r="J38" s="65"/>
      <c r="K38" s="65"/>
      <c r="L38" s="65"/>
      <c r="M38" s="65"/>
      <c r="N38" s="65"/>
      <c r="O38" s="65"/>
      <c r="P38" s="65"/>
      <c r="Q38" s="65"/>
      <c r="R38" s="65"/>
      <c r="S38" s="180"/>
      <c r="T38" s="37"/>
      <c r="U38" s="38"/>
      <c r="V38" s="38"/>
      <c r="W38" s="38"/>
      <c r="X38" s="38"/>
      <c r="Y38" s="38"/>
      <c r="Z38" s="38"/>
      <c r="AA38" s="38"/>
      <c r="AB38" s="38"/>
      <c r="AC38" s="38"/>
      <c r="AD38" s="38"/>
      <c r="AE38" s="38"/>
      <c r="AF38" s="38"/>
      <c r="AG38" s="38"/>
      <c r="AH38" s="38"/>
      <c r="AI38" s="38"/>
      <c r="AJ38" s="38"/>
      <c r="AK38" s="38"/>
      <c r="AL38" s="39"/>
    </row>
    <row r="39" spans="1:38" ht="12.75">
      <c r="A39" s="47"/>
      <c r="B39" s="65"/>
      <c r="C39" s="65"/>
      <c r="D39" s="65"/>
      <c r="E39" s="65"/>
      <c r="F39" s="65"/>
      <c r="G39" s="65"/>
      <c r="H39" s="65"/>
      <c r="I39" s="65"/>
      <c r="J39" s="65"/>
      <c r="K39" s="65"/>
      <c r="L39" s="65"/>
      <c r="M39" s="65"/>
      <c r="N39" s="65"/>
      <c r="O39" s="65"/>
      <c r="P39" s="65"/>
      <c r="Q39" s="65"/>
      <c r="R39" s="65"/>
      <c r="S39" s="180"/>
      <c r="T39" s="37"/>
      <c r="U39" s="38"/>
      <c r="V39" s="38"/>
      <c r="W39" s="38"/>
      <c r="X39" s="38"/>
      <c r="Y39" s="38"/>
      <c r="Z39" s="38"/>
      <c r="AA39" s="38"/>
      <c r="AB39" s="38"/>
      <c r="AC39" s="38"/>
      <c r="AD39" s="38"/>
      <c r="AE39" s="38"/>
      <c r="AF39" s="38"/>
      <c r="AG39" s="38"/>
      <c r="AH39" s="38"/>
      <c r="AI39" s="38"/>
      <c r="AJ39" s="38"/>
      <c r="AK39" s="38"/>
      <c r="AL39" s="39"/>
    </row>
    <row r="40" spans="1:38" ht="12.75">
      <c r="A40" s="47"/>
      <c r="B40" s="65"/>
      <c r="C40" s="65"/>
      <c r="D40" s="65"/>
      <c r="E40" s="65"/>
      <c r="F40" s="65"/>
      <c r="G40" s="65"/>
      <c r="H40" s="65"/>
      <c r="I40" s="65"/>
      <c r="J40" s="65"/>
      <c r="K40" s="65"/>
      <c r="L40" s="65"/>
      <c r="M40" s="65"/>
      <c r="N40" s="65"/>
      <c r="O40" s="65"/>
      <c r="P40" s="65"/>
      <c r="Q40" s="65"/>
      <c r="R40" s="65"/>
      <c r="S40" s="180"/>
      <c r="T40" s="37"/>
      <c r="U40" s="38"/>
      <c r="V40" s="38"/>
      <c r="W40" s="38"/>
      <c r="X40" s="38"/>
      <c r="Y40" s="38"/>
      <c r="Z40" s="38"/>
      <c r="AA40" s="38"/>
      <c r="AB40" s="38"/>
      <c r="AC40" s="38"/>
      <c r="AD40" s="38"/>
      <c r="AE40" s="38"/>
      <c r="AF40" s="38"/>
      <c r="AG40" s="38"/>
      <c r="AH40" s="38"/>
      <c r="AI40" s="38"/>
      <c r="AJ40" s="38"/>
      <c r="AK40" s="38"/>
      <c r="AL40" s="39"/>
    </row>
    <row r="41" spans="1:38" ht="12.75">
      <c r="A41" s="47"/>
      <c r="B41" s="65"/>
      <c r="C41" s="65"/>
      <c r="D41" s="65"/>
      <c r="E41" s="65"/>
      <c r="F41" s="65"/>
      <c r="G41" s="65"/>
      <c r="H41" s="65"/>
      <c r="I41" s="65"/>
      <c r="J41" s="65"/>
      <c r="K41" s="65"/>
      <c r="L41" s="65"/>
      <c r="M41" s="65"/>
      <c r="N41" s="65"/>
      <c r="O41" s="65"/>
      <c r="P41" s="65"/>
      <c r="Q41" s="65"/>
      <c r="R41" s="65"/>
      <c r="S41" s="180"/>
      <c r="T41" s="37"/>
      <c r="U41" s="38"/>
      <c r="V41" s="38"/>
      <c r="W41" s="38"/>
      <c r="X41" s="38"/>
      <c r="Y41" s="38"/>
      <c r="Z41" s="38"/>
      <c r="AA41" s="38"/>
      <c r="AB41" s="38"/>
      <c r="AC41" s="38"/>
      <c r="AD41" s="38"/>
      <c r="AE41" s="38"/>
      <c r="AF41" s="38"/>
      <c r="AG41" s="38"/>
      <c r="AH41" s="38"/>
      <c r="AI41" s="38"/>
      <c r="AJ41" s="38"/>
      <c r="AK41" s="38"/>
      <c r="AL41" s="39"/>
    </row>
    <row r="42" spans="1:38" ht="12.75">
      <c r="A42" s="47"/>
      <c r="B42" s="65"/>
      <c r="C42" s="65"/>
      <c r="D42" s="65"/>
      <c r="E42" s="65"/>
      <c r="F42" s="65"/>
      <c r="G42" s="65"/>
      <c r="H42" s="65"/>
      <c r="I42" s="65"/>
      <c r="J42" s="65"/>
      <c r="K42" s="65"/>
      <c r="L42" s="65"/>
      <c r="M42" s="65"/>
      <c r="N42" s="65"/>
      <c r="O42" s="65"/>
      <c r="P42" s="65"/>
      <c r="Q42" s="65"/>
      <c r="R42" s="65"/>
      <c r="S42" s="180"/>
      <c r="T42" s="37"/>
      <c r="U42" s="38"/>
      <c r="V42" s="38"/>
      <c r="W42" s="38"/>
      <c r="X42" s="38"/>
      <c r="Y42" s="38"/>
      <c r="Z42" s="38"/>
      <c r="AA42" s="38"/>
      <c r="AB42" s="38"/>
      <c r="AC42" s="38"/>
      <c r="AD42" s="38"/>
      <c r="AE42" s="38"/>
      <c r="AF42" s="38"/>
      <c r="AG42" s="38"/>
      <c r="AH42" s="38"/>
      <c r="AI42" s="38"/>
      <c r="AJ42" s="38"/>
      <c r="AK42" s="38"/>
      <c r="AL42" s="39"/>
    </row>
    <row r="43" spans="1:38" ht="12.75">
      <c r="A43" s="47"/>
      <c r="B43" s="65"/>
      <c r="C43" s="65"/>
      <c r="D43" s="65"/>
      <c r="E43" s="65"/>
      <c r="F43" s="65"/>
      <c r="G43" s="65"/>
      <c r="H43" s="65"/>
      <c r="I43" s="65"/>
      <c r="J43" s="65"/>
      <c r="K43" s="65"/>
      <c r="L43" s="65"/>
      <c r="M43" s="65"/>
      <c r="N43" s="65"/>
      <c r="O43" s="65"/>
      <c r="P43" s="65"/>
      <c r="Q43" s="65"/>
      <c r="R43" s="65"/>
      <c r="S43" s="180"/>
      <c r="T43" s="37"/>
      <c r="U43" s="38"/>
      <c r="V43" s="38"/>
      <c r="W43" s="38"/>
      <c r="X43" s="38"/>
      <c r="Y43" s="38"/>
      <c r="Z43" s="38"/>
      <c r="AA43" s="38"/>
      <c r="AB43" s="38"/>
      <c r="AC43" s="38"/>
      <c r="AD43" s="38"/>
      <c r="AE43" s="38"/>
      <c r="AF43" s="38"/>
      <c r="AG43" s="38"/>
      <c r="AH43" s="38"/>
      <c r="AI43" s="38"/>
      <c r="AJ43" s="38"/>
      <c r="AK43" s="38"/>
      <c r="AL43" s="39"/>
    </row>
    <row r="44" spans="1:38" ht="12.75">
      <c r="A44" s="47"/>
      <c r="B44" s="65"/>
      <c r="C44" s="65"/>
      <c r="D44" s="65"/>
      <c r="E44" s="65"/>
      <c r="F44" s="65"/>
      <c r="G44" s="65"/>
      <c r="H44" s="65"/>
      <c r="I44" s="65"/>
      <c r="J44" s="65"/>
      <c r="K44" s="65"/>
      <c r="L44" s="65"/>
      <c r="M44" s="65"/>
      <c r="N44" s="65"/>
      <c r="O44" s="65"/>
      <c r="P44" s="65"/>
      <c r="Q44" s="65"/>
      <c r="R44" s="65"/>
      <c r="S44" s="180"/>
      <c r="T44" s="37"/>
      <c r="U44" s="38"/>
      <c r="V44" s="38"/>
      <c r="W44" s="38"/>
      <c r="X44" s="38"/>
      <c r="Y44" s="38"/>
      <c r="Z44" s="38"/>
      <c r="AA44" s="38"/>
      <c r="AB44" s="38"/>
      <c r="AC44" s="38"/>
      <c r="AD44" s="38"/>
      <c r="AE44" s="38"/>
      <c r="AF44" s="38"/>
      <c r="AG44" s="38"/>
      <c r="AH44" s="38"/>
      <c r="AI44" s="38"/>
      <c r="AJ44" s="38"/>
      <c r="AK44" s="38"/>
      <c r="AL44" s="39"/>
    </row>
    <row r="45" spans="1:38" ht="12.75">
      <c r="A45" s="47"/>
      <c r="B45" s="65"/>
      <c r="C45" s="65"/>
      <c r="D45" s="65"/>
      <c r="E45" s="65"/>
      <c r="F45" s="65"/>
      <c r="G45" s="65"/>
      <c r="H45" s="65"/>
      <c r="I45" s="65"/>
      <c r="J45" s="65"/>
      <c r="K45" s="65"/>
      <c r="L45" s="65"/>
      <c r="M45" s="65"/>
      <c r="N45" s="65"/>
      <c r="O45" s="65"/>
      <c r="P45" s="65"/>
      <c r="Q45" s="65"/>
      <c r="R45" s="65"/>
      <c r="S45" s="180"/>
      <c r="T45" s="37"/>
      <c r="U45" s="38"/>
      <c r="V45" s="38"/>
      <c r="W45" s="38"/>
      <c r="X45" s="38"/>
      <c r="Y45" s="38"/>
      <c r="Z45" s="38"/>
      <c r="AA45" s="38"/>
      <c r="AB45" s="38"/>
      <c r="AC45" s="38"/>
      <c r="AD45" s="38"/>
      <c r="AE45" s="38"/>
      <c r="AF45" s="38"/>
      <c r="AG45" s="38"/>
      <c r="AH45" s="38"/>
      <c r="AI45" s="38"/>
      <c r="AJ45" s="38"/>
      <c r="AK45" s="38"/>
      <c r="AL45" s="39"/>
    </row>
    <row r="46" spans="1:38" ht="12.75">
      <c r="A46" s="47"/>
      <c r="B46" s="65"/>
      <c r="C46" s="65"/>
      <c r="D46" s="65"/>
      <c r="E46" s="65"/>
      <c r="F46" s="65"/>
      <c r="G46" s="65"/>
      <c r="H46" s="65"/>
      <c r="I46" s="65"/>
      <c r="J46" s="65"/>
      <c r="K46" s="65"/>
      <c r="L46" s="65"/>
      <c r="M46" s="65"/>
      <c r="N46" s="65"/>
      <c r="O46" s="65"/>
      <c r="P46" s="65"/>
      <c r="Q46" s="65"/>
      <c r="R46" s="65"/>
      <c r="S46" s="180"/>
      <c r="T46" s="37"/>
      <c r="U46" s="38"/>
      <c r="V46" s="38"/>
      <c r="W46" s="38"/>
      <c r="X46" s="38"/>
      <c r="Y46" s="38"/>
      <c r="Z46" s="38"/>
      <c r="AA46" s="38"/>
      <c r="AB46" s="38"/>
      <c r="AC46" s="38"/>
      <c r="AD46" s="38"/>
      <c r="AE46" s="38"/>
      <c r="AF46" s="38"/>
      <c r="AG46" s="38"/>
      <c r="AH46" s="38"/>
      <c r="AI46" s="38"/>
      <c r="AJ46" s="38"/>
      <c r="AK46" s="38"/>
      <c r="AL46" s="39"/>
    </row>
    <row r="47" spans="1:38" ht="12.75">
      <c r="A47" s="47"/>
      <c r="B47" s="65"/>
      <c r="C47" s="65"/>
      <c r="D47" s="65"/>
      <c r="E47" s="65"/>
      <c r="F47" s="65"/>
      <c r="G47" s="65"/>
      <c r="H47" s="65"/>
      <c r="I47" s="65"/>
      <c r="J47" s="65"/>
      <c r="K47" s="65"/>
      <c r="L47" s="65"/>
      <c r="M47" s="65"/>
      <c r="N47" s="65"/>
      <c r="O47" s="65"/>
      <c r="P47" s="65"/>
      <c r="Q47" s="65"/>
      <c r="R47" s="65"/>
      <c r="S47" s="180"/>
      <c r="T47" s="37"/>
      <c r="U47" s="38"/>
      <c r="V47" s="38"/>
      <c r="W47" s="38"/>
      <c r="X47" s="38"/>
      <c r="Y47" s="38"/>
      <c r="Z47" s="38"/>
      <c r="AA47" s="38"/>
      <c r="AB47" s="38"/>
      <c r="AC47" s="38"/>
      <c r="AD47" s="38"/>
      <c r="AE47" s="38"/>
      <c r="AF47" s="38"/>
      <c r="AG47" s="38"/>
      <c r="AH47" s="38"/>
      <c r="AI47" s="38"/>
      <c r="AJ47" s="38"/>
      <c r="AK47" s="38"/>
      <c r="AL47" s="39"/>
    </row>
    <row r="48" spans="1:38" ht="12.75">
      <c r="A48" s="47"/>
      <c r="B48" s="65"/>
      <c r="C48" s="65"/>
      <c r="D48" s="65"/>
      <c r="E48" s="65"/>
      <c r="F48" s="65"/>
      <c r="G48" s="65"/>
      <c r="H48" s="65"/>
      <c r="I48" s="65"/>
      <c r="J48" s="65"/>
      <c r="K48" s="65"/>
      <c r="L48" s="65"/>
      <c r="M48" s="65"/>
      <c r="N48" s="65"/>
      <c r="O48" s="65"/>
      <c r="P48" s="65"/>
      <c r="Q48" s="65"/>
      <c r="R48" s="65"/>
      <c r="S48" s="180"/>
      <c r="T48" s="37"/>
      <c r="U48" s="38"/>
      <c r="V48" s="38"/>
      <c r="W48" s="38"/>
      <c r="X48" s="38"/>
      <c r="Y48" s="38"/>
      <c r="Z48" s="38"/>
      <c r="AA48" s="38"/>
      <c r="AB48" s="38"/>
      <c r="AC48" s="38"/>
      <c r="AD48" s="38"/>
      <c r="AE48" s="38"/>
      <c r="AF48" s="38"/>
      <c r="AG48" s="38"/>
      <c r="AH48" s="38"/>
      <c r="AI48" s="38"/>
      <c r="AJ48" s="38"/>
      <c r="AK48" s="38"/>
      <c r="AL48" s="39"/>
    </row>
    <row r="49" spans="1:38" ht="12.75">
      <c r="A49" s="47"/>
      <c r="B49" s="65"/>
      <c r="C49" s="65"/>
      <c r="D49" s="65"/>
      <c r="E49" s="65"/>
      <c r="F49" s="65"/>
      <c r="G49" s="65"/>
      <c r="H49" s="65"/>
      <c r="I49" s="65"/>
      <c r="J49" s="65"/>
      <c r="K49" s="65"/>
      <c r="L49" s="65"/>
      <c r="M49" s="65"/>
      <c r="N49" s="65"/>
      <c r="O49" s="65"/>
      <c r="P49" s="65"/>
      <c r="Q49" s="65"/>
      <c r="R49" s="65"/>
      <c r="S49" s="180"/>
      <c r="T49" s="37"/>
      <c r="U49" s="38"/>
      <c r="V49" s="38"/>
      <c r="W49" s="38"/>
      <c r="X49" s="38"/>
      <c r="Y49" s="38"/>
      <c r="Z49" s="38"/>
      <c r="AA49" s="38"/>
      <c r="AB49" s="38"/>
      <c r="AC49" s="38"/>
      <c r="AD49" s="38"/>
      <c r="AE49" s="38"/>
      <c r="AF49" s="38"/>
      <c r="AG49" s="38"/>
      <c r="AH49" s="38"/>
      <c r="AI49" s="38"/>
      <c r="AJ49" s="38"/>
      <c r="AK49" s="38"/>
      <c r="AL49" s="39"/>
    </row>
    <row r="50" spans="1:38" ht="12.75">
      <c r="A50" s="47"/>
      <c r="B50" s="65"/>
      <c r="C50" s="65"/>
      <c r="D50" s="65"/>
      <c r="E50" s="65"/>
      <c r="F50" s="65"/>
      <c r="G50" s="65"/>
      <c r="H50" s="65"/>
      <c r="I50" s="65"/>
      <c r="J50" s="65"/>
      <c r="K50" s="65"/>
      <c r="L50" s="65"/>
      <c r="M50" s="65"/>
      <c r="N50" s="65"/>
      <c r="O50" s="65"/>
      <c r="P50" s="65"/>
      <c r="Q50" s="65"/>
      <c r="R50" s="65"/>
      <c r="S50" s="180"/>
      <c r="T50" s="37"/>
      <c r="U50" s="38"/>
      <c r="V50" s="38"/>
      <c r="W50" s="38"/>
      <c r="X50" s="38"/>
      <c r="Y50" s="38"/>
      <c r="Z50" s="38"/>
      <c r="AA50" s="38"/>
      <c r="AB50" s="38"/>
      <c r="AC50" s="38"/>
      <c r="AD50" s="38"/>
      <c r="AE50" s="38"/>
      <c r="AF50" s="38"/>
      <c r="AG50" s="38"/>
      <c r="AH50" s="38"/>
      <c r="AI50" s="38"/>
      <c r="AJ50" s="38"/>
      <c r="AK50" s="38"/>
      <c r="AL50" s="39"/>
    </row>
    <row r="51" spans="1:38" ht="12.75">
      <c r="A51" s="47"/>
      <c r="B51" s="65"/>
      <c r="C51" s="65"/>
      <c r="D51" s="65"/>
      <c r="E51" s="65"/>
      <c r="F51" s="65"/>
      <c r="G51" s="65"/>
      <c r="H51" s="65"/>
      <c r="I51" s="65"/>
      <c r="J51" s="65"/>
      <c r="K51" s="65"/>
      <c r="L51" s="65"/>
      <c r="M51" s="65"/>
      <c r="N51" s="65"/>
      <c r="O51" s="65"/>
      <c r="P51" s="65"/>
      <c r="Q51" s="65"/>
      <c r="R51" s="65"/>
      <c r="S51" s="180"/>
      <c r="T51" s="37"/>
      <c r="U51" s="38"/>
      <c r="V51" s="38"/>
      <c r="W51" s="38"/>
      <c r="X51" s="38"/>
      <c r="Y51" s="38"/>
      <c r="Z51" s="38"/>
      <c r="AA51" s="38"/>
      <c r="AB51" s="38"/>
      <c r="AC51" s="38"/>
      <c r="AD51" s="38"/>
      <c r="AE51" s="38"/>
      <c r="AF51" s="38"/>
      <c r="AG51" s="38"/>
      <c r="AH51" s="38"/>
      <c r="AI51" s="38"/>
      <c r="AJ51" s="38"/>
      <c r="AK51" s="38"/>
      <c r="AL51" s="39"/>
    </row>
    <row r="52" spans="1:38" ht="12.75">
      <c r="A52" s="47"/>
      <c r="B52" s="65"/>
      <c r="C52" s="65"/>
      <c r="D52" s="65"/>
      <c r="E52" s="65"/>
      <c r="F52" s="65"/>
      <c r="G52" s="65"/>
      <c r="H52" s="65"/>
      <c r="I52" s="65"/>
      <c r="J52" s="65"/>
      <c r="K52" s="65"/>
      <c r="L52" s="65"/>
      <c r="M52" s="65"/>
      <c r="N52" s="65"/>
      <c r="O52" s="65"/>
      <c r="P52" s="65"/>
      <c r="Q52" s="65"/>
      <c r="R52" s="65"/>
      <c r="S52" s="180"/>
      <c r="T52" s="37"/>
      <c r="U52" s="38"/>
      <c r="V52" s="38"/>
      <c r="W52" s="38"/>
      <c r="X52" s="38"/>
      <c r="Y52" s="38"/>
      <c r="Z52" s="38"/>
      <c r="AA52" s="38"/>
      <c r="AB52" s="38"/>
      <c r="AC52" s="38"/>
      <c r="AD52" s="38"/>
      <c r="AE52" s="38"/>
      <c r="AF52" s="38"/>
      <c r="AG52" s="38"/>
      <c r="AH52" s="38"/>
      <c r="AI52" s="38"/>
      <c r="AJ52" s="38"/>
      <c r="AK52" s="38"/>
      <c r="AL52" s="39"/>
    </row>
    <row r="53" spans="1:38" ht="12.75">
      <c r="A53" s="47"/>
      <c r="B53" s="65"/>
      <c r="C53" s="65"/>
      <c r="D53" s="65"/>
      <c r="E53" s="65"/>
      <c r="F53" s="65"/>
      <c r="G53" s="65"/>
      <c r="H53" s="65"/>
      <c r="I53" s="65"/>
      <c r="J53" s="65"/>
      <c r="K53" s="65"/>
      <c r="L53" s="65"/>
      <c r="M53" s="65"/>
      <c r="N53" s="65"/>
      <c r="O53" s="65"/>
      <c r="P53" s="65"/>
      <c r="Q53" s="65"/>
      <c r="R53" s="65"/>
      <c r="S53" s="180"/>
      <c r="T53" s="37"/>
      <c r="U53" s="38"/>
      <c r="V53" s="38"/>
      <c r="W53" s="38"/>
      <c r="X53" s="38"/>
      <c r="Y53" s="38"/>
      <c r="Z53" s="38"/>
      <c r="AA53" s="38"/>
      <c r="AB53" s="38"/>
      <c r="AC53" s="38"/>
      <c r="AD53" s="38"/>
      <c r="AE53" s="38"/>
      <c r="AF53" s="38"/>
      <c r="AG53" s="38"/>
      <c r="AH53" s="38"/>
      <c r="AI53" s="38"/>
      <c r="AJ53" s="38"/>
      <c r="AK53" s="38"/>
      <c r="AL53" s="39"/>
    </row>
    <row r="54" spans="1:38" ht="12.75">
      <c r="A54" s="47"/>
      <c r="B54" s="65"/>
      <c r="C54" s="65"/>
      <c r="D54" s="65"/>
      <c r="E54" s="65"/>
      <c r="F54" s="65"/>
      <c r="G54" s="65"/>
      <c r="H54" s="65"/>
      <c r="I54" s="65"/>
      <c r="J54" s="65"/>
      <c r="K54" s="65"/>
      <c r="L54" s="65"/>
      <c r="M54" s="65"/>
      <c r="N54" s="65"/>
      <c r="O54" s="65"/>
      <c r="P54" s="65"/>
      <c r="Q54" s="65"/>
      <c r="R54" s="65"/>
      <c r="S54" s="180"/>
      <c r="T54" s="37"/>
      <c r="U54" s="38"/>
      <c r="V54" s="38"/>
      <c r="W54" s="38"/>
      <c r="X54" s="38"/>
      <c r="Y54" s="38"/>
      <c r="Z54" s="38"/>
      <c r="AA54" s="38"/>
      <c r="AB54" s="38"/>
      <c r="AC54" s="38"/>
      <c r="AD54" s="38"/>
      <c r="AE54" s="38"/>
      <c r="AF54" s="38"/>
      <c r="AG54" s="38"/>
      <c r="AH54" s="38"/>
      <c r="AI54" s="38"/>
      <c r="AJ54" s="38"/>
      <c r="AK54" s="38"/>
      <c r="AL54" s="39"/>
    </row>
    <row r="55" spans="1:38" ht="12.75">
      <c r="A55" s="47"/>
      <c r="B55" s="65"/>
      <c r="C55" s="65"/>
      <c r="D55" s="65"/>
      <c r="E55" s="65"/>
      <c r="F55" s="65"/>
      <c r="G55" s="65"/>
      <c r="H55" s="65"/>
      <c r="I55" s="65"/>
      <c r="J55" s="65"/>
      <c r="K55" s="65"/>
      <c r="L55" s="65"/>
      <c r="M55" s="65"/>
      <c r="N55" s="65"/>
      <c r="O55" s="65"/>
      <c r="P55" s="65"/>
      <c r="Q55" s="65"/>
      <c r="R55" s="65"/>
      <c r="S55" s="180"/>
      <c r="T55" s="37"/>
      <c r="U55" s="38"/>
      <c r="V55" s="38"/>
      <c r="W55" s="38"/>
      <c r="X55" s="38"/>
      <c r="Y55" s="38"/>
      <c r="Z55" s="38"/>
      <c r="AA55" s="38"/>
      <c r="AB55" s="38"/>
      <c r="AC55" s="38"/>
      <c r="AD55" s="38"/>
      <c r="AE55" s="38"/>
      <c r="AF55" s="38"/>
      <c r="AG55" s="38"/>
      <c r="AH55" s="38"/>
      <c r="AI55" s="38"/>
      <c r="AJ55" s="38"/>
      <c r="AK55" s="38"/>
      <c r="AL55" s="39"/>
    </row>
    <row r="56" spans="1:38" ht="12.75">
      <c r="A56" s="47"/>
      <c r="B56" s="65"/>
      <c r="C56" s="65"/>
      <c r="D56" s="65"/>
      <c r="E56" s="65"/>
      <c r="F56" s="65"/>
      <c r="G56" s="65"/>
      <c r="H56" s="65"/>
      <c r="I56" s="65"/>
      <c r="J56" s="65"/>
      <c r="K56" s="65"/>
      <c r="L56" s="65"/>
      <c r="M56" s="65"/>
      <c r="N56" s="65"/>
      <c r="O56" s="65"/>
      <c r="P56" s="65"/>
      <c r="Q56" s="65"/>
      <c r="R56" s="65"/>
      <c r="S56" s="180"/>
      <c r="T56" s="37"/>
      <c r="U56" s="38"/>
      <c r="V56" s="38"/>
      <c r="W56" s="38"/>
      <c r="X56" s="38"/>
      <c r="Y56" s="38"/>
      <c r="Z56" s="38"/>
      <c r="AA56" s="38"/>
      <c r="AB56" s="38"/>
      <c r="AC56" s="38"/>
      <c r="AD56" s="38"/>
      <c r="AE56" s="38"/>
      <c r="AF56" s="38"/>
      <c r="AG56" s="38"/>
      <c r="AH56" s="38"/>
      <c r="AI56" s="38"/>
      <c r="AJ56" s="38"/>
      <c r="AK56" s="38"/>
      <c r="AL56" s="39"/>
    </row>
    <row r="57" spans="1:38" ht="12.75">
      <c r="A57" s="47"/>
      <c r="B57" s="65"/>
      <c r="C57" s="65"/>
      <c r="D57" s="65"/>
      <c r="E57" s="65"/>
      <c r="F57" s="65"/>
      <c r="G57" s="65"/>
      <c r="H57" s="65"/>
      <c r="I57" s="65"/>
      <c r="J57" s="65"/>
      <c r="K57" s="65"/>
      <c r="L57" s="65"/>
      <c r="M57" s="65"/>
      <c r="N57" s="65"/>
      <c r="O57" s="65"/>
      <c r="P57" s="65"/>
      <c r="Q57" s="65"/>
      <c r="R57" s="65"/>
      <c r="S57" s="180"/>
      <c r="T57" s="37"/>
      <c r="U57" s="38"/>
      <c r="V57" s="38"/>
      <c r="W57" s="38"/>
      <c r="X57" s="38"/>
      <c r="Y57" s="38"/>
      <c r="Z57" s="38"/>
      <c r="AA57" s="38"/>
      <c r="AB57" s="38"/>
      <c r="AC57" s="38"/>
      <c r="AD57" s="38"/>
      <c r="AE57" s="38"/>
      <c r="AF57" s="38"/>
      <c r="AG57" s="38"/>
      <c r="AH57" s="38"/>
      <c r="AI57" s="38"/>
      <c r="AJ57" s="38"/>
      <c r="AK57" s="38"/>
      <c r="AL57" s="39"/>
    </row>
    <row r="58" spans="1:38" ht="12.75">
      <c r="A58" s="47"/>
      <c r="B58" s="65"/>
      <c r="C58" s="65"/>
      <c r="D58" s="65"/>
      <c r="E58" s="65"/>
      <c r="F58" s="65"/>
      <c r="G58" s="65"/>
      <c r="H58" s="65"/>
      <c r="I58" s="65"/>
      <c r="J58" s="65"/>
      <c r="K58" s="65"/>
      <c r="L58" s="65"/>
      <c r="M58" s="65"/>
      <c r="N58" s="65"/>
      <c r="O58" s="65"/>
      <c r="P58" s="65"/>
      <c r="Q58" s="65"/>
      <c r="R58" s="65"/>
      <c r="S58" s="180"/>
      <c r="T58" s="37"/>
      <c r="U58" s="38"/>
      <c r="V58" s="38"/>
      <c r="W58" s="38"/>
      <c r="X58" s="38"/>
      <c r="Y58" s="38"/>
      <c r="Z58" s="38"/>
      <c r="AA58" s="38"/>
      <c r="AB58" s="38"/>
      <c r="AC58" s="38"/>
      <c r="AD58" s="38"/>
      <c r="AE58" s="38"/>
      <c r="AF58" s="38"/>
      <c r="AG58" s="38"/>
      <c r="AH58" s="38"/>
      <c r="AI58" s="38"/>
      <c r="AJ58" s="38"/>
      <c r="AK58" s="38"/>
      <c r="AL58" s="39"/>
    </row>
    <row r="59" spans="1:38" ht="12.75">
      <c r="A59" s="47"/>
      <c r="B59" s="65"/>
      <c r="C59" s="65"/>
      <c r="D59" s="65"/>
      <c r="E59" s="65"/>
      <c r="F59" s="65"/>
      <c r="G59" s="65"/>
      <c r="H59" s="65"/>
      <c r="I59" s="65"/>
      <c r="J59" s="65"/>
      <c r="K59" s="65"/>
      <c r="L59" s="65"/>
      <c r="M59" s="65"/>
      <c r="N59" s="65"/>
      <c r="O59" s="65"/>
      <c r="P59" s="65"/>
      <c r="Q59" s="65"/>
      <c r="R59" s="65"/>
      <c r="S59" s="180"/>
      <c r="T59" s="37"/>
      <c r="U59" s="38"/>
      <c r="V59" s="38"/>
      <c r="W59" s="38"/>
      <c r="X59" s="38"/>
      <c r="Y59" s="38"/>
      <c r="Z59" s="38"/>
      <c r="AA59" s="38"/>
      <c r="AB59" s="38"/>
      <c r="AC59" s="38"/>
      <c r="AD59" s="38"/>
      <c r="AE59" s="38"/>
      <c r="AF59" s="38"/>
      <c r="AG59" s="38"/>
      <c r="AH59" s="38"/>
      <c r="AI59" s="38"/>
      <c r="AJ59" s="38"/>
      <c r="AK59" s="38"/>
      <c r="AL59" s="39"/>
    </row>
    <row r="60" spans="1:38" ht="12.75">
      <c r="A60" s="47"/>
      <c r="B60" s="65"/>
      <c r="C60" s="65"/>
      <c r="D60" s="65"/>
      <c r="E60" s="65"/>
      <c r="F60" s="65"/>
      <c r="G60" s="65"/>
      <c r="H60" s="65"/>
      <c r="I60" s="65"/>
      <c r="J60" s="65"/>
      <c r="K60" s="65"/>
      <c r="L60" s="65"/>
      <c r="M60" s="65"/>
      <c r="N60" s="65"/>
      <c r="O60" s="65"/>
      <c r="P60" s="65"/>
      <c r="Q60" s="65"/>
      <c r="R60" s="65"/>
      <c r="S60" s="180"/>
      <c r="T60" s="37"/>
      <c r="U60" s="38"/>
      <c r="V60" s="38"/>
      <c r="W60" s="38"/>
      <c r="X60" s="38"/>
      <c r="Y60" s="38"/>
      <c r="Z60" s="38"/>
      <c r="AA60" s="38"/>
      <c r="AB60" s="38"/>
      <c r="AC60" s="38"/>
      <c r="AD60" s="38"/>
      <c r="AE60" s="38"/>
      <c r="AF60" s="38"/>
      <c r="AG60" s="38"/>
      <c r="AH60" s="38"/>
      <c r="AI60" s="38"/>
      <c r="AJ60" s="38"/>
      <c r="AK60" s="38"/>
      <c r="AL60" s="39"/>
    </row>
    <row r="61" spans="1:38" ht="12.75">
      <c r="A61" s="47"/>
      <c r="B61" s="65"/>
      <c r="C61" s="65"/>
      <c r="D61" s="65"/>
      <c r="E61" s="65"/>
      <c r="F61" s="65"/>
      <c r="G61" s="65"/>
      <c r="H61" s="65"/>
      <c r="I61" s="65"/>
      <c r="J61" s="65"/>
      <c r="K61" s="65"/>
      <c r="L61" s="65"/>
      <c r="M61" s="65"/>
      <c r="N61" s="65"/>
      <c r="O61" s="65"/>
      <c r="P61" s="65"/>
      <c r="Q61" s="65"/>
      <c r="R61" s="65"/>
      <c r="S61" s="180"/>
      <c r="T61" s="37"/>
      <c r="U61" s="38"/>
      <c r="V61" s="38"/>
      <c r="W61" s="38"/>
      <c r="X61" s="38"/>
      <c r="Y61" s="38"/>
      <c r="Z61" s="38"/>
      <c r="AA61" s="38"/>
      <c r="AB61" s="38"/>
      <c r="AC61" s="38"/>
      <c r="AD61" s="38"/>
      <c r="AE61" s="38"/>
      <c r="AF61" s="38"/>
      <c r="AG61" s="38"/>
      <c r="AH61" s="38"/>
      <c r="AI61" s="38"/>
      <c r="AJ61" s="38"/>
      <c r="AK61" s="38"/>
      <c r="AL61" s="39"/>
    </row>
    <row r="62" spans="1:38" ht="12.75">
      <c r="A62" s="48"/>
      <c r="B62" s="49"/>
      <c r="C62" s="49"/>
      <c r="D62" s="49"/>
      <c r="E62" s="49"/>
      <c r="F62" s="49"/>
      <c r="G62" s="49"/>
      <c r="H62" s="49"/>
      <c r="I62" s="49"/>
      <c r="J62" s="49"/>
      <c r="K62" s="49"/>
      <c r="L62" s="49"/>
      <c r="M62" s="49"/>
      <c r="N62" s="49"/>
      <c r="O62" s="49"/>
      <c r="P62" s="49"/>
      <c r="Q62" s="49"/>
      <c r="R62" s="49"/>
      <c r="S62" s="181"/>
      <c r="T62" s="37"/>
      <c r="U62" s="38"/>
      <c r="V62" s="38"/>
      <c r="W62" s="38"/>
      <c r="X62" s="38"/>
      <c r="Y62" s="38"/>
      <c r="Z62" s="38"/>
      <c r="AA62" s="38"/>
      <c r="AB62" s="38"/>
      <c r="AC62" s="38"/>
      <c r="AD62" s="38"/>
      <c r="AE62" s="38"/>
      <c r="AF62" s="38"/>
      <c r="AG62" s="38"/>
      <c r="AH62" s="38"/>
      <c r="AI62" s="38"/>
      <c r="AJ62" s="38"/>
      <c r="AK62" s="38"/>
      <c r="AL62" s="39"/>
    </row>
    <row r="63" spans="1:38" ht="12.75">
      <c r="A63" s="48"/>
      <c r="B63" s="49"/>
      <c r="C63" s="49"/>
      <c r="D63" s="49"/>
      <c r="E63" s="49"/>
      <c r="F63" s="49"/>
      <c r="G63" s="49"/>
      <c r="H63" s="49"/>
      <c r="I63" s="49"/>
      <c r="J63" s="49"/>
      <c r="K63" s="49"/>
      <c r="L63" s="49"/>
      <c r="M63" s="49"/>
      <c r="N63" s="49"/>
      <c r="O63" s="49"/>
      <c r="P63" s="49"/>
      <c r="Q63" s="49"/>
      <c r="R63" s="49"/>
      <c r="S63" s="49"/>
      <c r="T63" s="41"/>
      <c r="U63" s="40"/>
      <c r="V63" s="40"/>
      <c r="W63" s="40"/>
      <c r="X63" s="40"/>
      <c r="Y63" s="40"/>
      <c r="Z63" s="40"/>
      <c r="AA63" s="40"/>
      <c r="AB63" s="40"/>
      <c r="AC63" s="40"/>
      <c r="AD63" s="40"/>
      <c r="AE63" s="40"/>
      <c r="AF63" s="40"/>
      <c r="AG63" s="40"/>
      <c r="AH63" s="40"/>
      <c r="AI63" s="40"/>
      <c r="AJ63" s="40"/>
      <c r="AK63" s="40"/>
      <c r="AL63" s="42"/>
    </row>
  </sheetData>
  <sheetProtection password="DCC8" sheet="1"/>
  <mergeCells count="5">
    <mergeCell ref="A5:S8"/>
    <mergeCell ref="A1:S1"/>
    <mergeCell ref="D3:J3"/>
    <mergeCell ref="O3:S3"/>
    <mergeCell ref="A15:S16"/>
  </mergeCells>
  <printOptions/>
  <pageMargins left="0.3937007874015748" right="0.3937007874015748" top="0.3937007874015748" bottom="0.3937007874015748" header="0.5118110236220472" footer="0.5118110236220472"/>
  <pageSetup horizontalDpi="600" verticalDpi="600" orientation="portrait" paperSize="9" r:id="rId2"/>
  <ignoredErrors>
    <ignoredError sqref="D3 O3" unlockedFormula="1"/>
  </ignoredErrors>
  <drawing r:id="rId1"/>
</worksheet>
</file>

<file path=xl/worksheets/sheet4.xml><?xml version="1.0" encoding="utf-8"?>
<worksheet xmlns="http://schemas.openxmlformats.org/spreadsheetml/2006/main" xmlns:r="http://schemas.openxmlformats.org/officeDocument/2006/relationships">
  <sheetPr codeName="Sheet8"/>
  <dimension ref="B1:K25"/>
  <sheetViews>
    <sheetView showGridLines="0" zoomScalePageLayoutView="0" workbookViewId="0" topLeftCell="A1">
      <selection activeCell="F15" sqref="F15"/>
    </sheetView>
  </sheetViews>
  <sheetFormatPr defaultColWidth="9.140625" defaultRowHeight="12.75"/>
  <cols>
    <col min="1" max="1" width="3.28125" style="53" customWidth="1"/>
    <col min="2" max="2" width="24.7109375" style="53" customWidth="1"/>
    <col min="3" max="3" width="10.140625" style="53" customWidth="1"/>
    <col min="4" max="4" width="13.8515625" style="53" customWidth="1"/>
    <col min="5" max="5" width="14.8515625" style="53" customWidth="1"/>
    <col min="6" max="6" width="10.7109375" style="53" customWidth="1"/>
    <col min="7" max="8" width="10.7109375" style="53" bestFit="1" customWidth="1"/>
    <col min="9" max="11" width="10.7109375" style="53" customWidth="1"/>
    <col min="12" max="16384" width="9.140625" style="53" customWidth="1"/>
  </cols>
  <sheetData>
    <row r="1" ht="18">
      <c r="B1" s="61" t="s">
        <v>44</v>
      </c>
    </row>
    <row r="2" ht="12.75"/>
    <row r="3" spans="2:11" ht="12.75">
      <c r="B3" s="56" t="s">
        <v>106</v>
      </c>
      <c r="C3" s="62" t="s">
        <v>7</v>
      </c>
      <c r="D3" s="62" t="s">
        <v>12</v>
      </c>
      <c r="E3" s="62" t="s">
        <v>18</v>
      </c>
      <c r="F3" s="62" t="s">
        <v>13</v>
      </c>
      <c r="G3" s="62" t="s">
        <v>14</v>
      </c>
      <c r="H3" s="62" t="s">
        <v>15</v>
      </c>
      <c r="I3" s="62" t="s">
        <v>132</v>
      </c>
      <c r="J3" s="62" t="s">
        <v>133</v>
      </c>
      <c r="K3" s="62" t="s">
        <v>134</v>
      </c>
    </row>
    <row r="4" spans="2:11" ht="12.75">
      <c r="B4" s="56" t="s">
        <v>16</v>
      </c>
      <c r="C4" s="44" t="s">
        <v>7</v>
      </c>
      <c r="D4" s="44" t="s">
        <v>17</v>
      </c>
      <c r="E4" s="43" t="s">
        <v>17</v>
      </c>
      <c r="F4" s="32"/>
      <c r="G4" s="32"/>
      <c r="H4" s="32"/>
      <c r="I4" s="32"/>
      <c r="J4" s="32"/>
      <c r="K4" s="32"/>
    </row>
    <row r="5" spans="2:11" ht="12.75">
      <c r="B5" s="55" t="s">
        <v>21</v>
      </c>
      <c r="C5" s="45">
        <v>200000000000</v>
      </c>
      <c r="D5" s="33"/>
      <c r="E5" s="33"/>
      <c r="F5" s="33"/>
      <c r="G5" s="33"/>
      <c r="H5" s="33"/>
      <c r="I5" s="33"/>
      <c r="J5" s="33"/>
      <c r="K5" s="33"/>
    </row>
    <row r="6" spans="2:11" ht="12.75">
      <c r="B6" s="56" t="s">
        <v>10</v>
      </c>
      <c r="C6" s="45">
        <v>305000000</v>
      </c>
      <c r="D6" s="33"/>
      <c r="E6" s="33"/>
      <c r="F6" s="33"/>
      <c r="G6" s="33"/>
      <c r="H6" s="33"/>
      <c r="I6" s="33"/>
      <c r="J6" s="33"/>
      <c r="K6" s="33"/>
    </row>
    <row r="7" spans="2:11" ht="12.75">
      <c r="B7" s="56" t="s">
        <v>11</v>
      </c>
      <c r="C7" s="45">
        <v>365000000</v>
      </c>
      <c r="D7" s="33"/>
      <c r="E7" s="33"/>
      <c r="F7" s="33"/>
      <c r="G7" s="33"/>
      <c r="H7" s="33"/>
      <c r="I7" s="33"/>
      <c r="J7" s="33"/>
      <c r="K7" s="33"/>
    </row>
    <row r="8" spans="2:11" ht="12.75">
      <c r="B8" s="56" t="s">
        <v>9</v>
      </c>
      <c r="C8" s="45">
        <v>180000000</v>
      </c>
      <c r="D8" s="33"/>
      <c r="E8" s="33"/>
      <c r="F8" s="33"/>
      <c r="G8" s="33"/>
      <c r="H8" s="33"/>
      <c r="I8" s="33"/>
      <c r="J8" s="33"/>
      <c r="K8" s="33"/>
    </row>
    <row r="9" spans="2:11" ht="12.75">
      <c r="B9" s="56" t="s">
        <v>8</v>
      </c>
      <c r="C9" s="45">
        <v>300000000</v>
      </c>
      <c r="D9" s="33"/>
      <c r="E9" s="33"/>
      <c r="F9" s="33"/>
      <c r="G9" s="33"/>
      <c r="H9" s="33"/>
      <c r="I9" s="33"/>
      <c r="J9" s="33"/>
      <c r="K9" s="33"/>
    </row>
    <row r="10" spans="2:11" ht="12.75">
      <c r="B10" s="75" t="s">
        <v>121</v>
      </c>
      <c r="C10" s="45">
        <f>0.6*C7</f>
        <v>219000000</v>
      </c>
      <c r="D10" s="33"/>
      <c r="E10" s="33"/>
      <c r="F10" s="33"/>
      <c r="G10" s="33"/>
      <c r="H10" s="33"/>
      <c r="I10" s="33"/>
      <c r="J10" s="33"/>
      <c r="K10" s="33"/>
    </row>
    <row r="11" ht="12.75"/>
    <row r="12" ht="12.75">
      <c r="C12" s="120" t="s">
        <v>156</v>
      </c>
    </row>
    <row r="13" spans="2:3" ht="12.75">
      <c r="B13" s="76"/>
      <c r="C13" s="120" t="s">
        <v>192</v>
      </c>
    </row>
    <row r="14" ht="12.75">
      <c r="B14" s="121"/>
    </row>
    <row r="15" ht="12.75">
      <c r="B15" s="76"/>
    </row>
    <row r="16" ht="12.75">
      <c r="B16" s="76"/>
    </row>
    <row r="17" ht="12.75">
      <c r="B17" s="76"/>
    </row>
    <row r="18" ht="12.75">
      <c r="B18" s="76"/>
    </row>
    <row r="19" ht="12.75">
      <c r="B19" s="69"/>
    </row>
    <row r="20" ht="12.75">
      <c r="B20" s="64" t="s">
        <v>30</v>
      </c>
    </row>
    <row r="21" ht="12.75">
      <c r="B21" s="64" t="s">
        <v>31</v>
      </c>
    </row>
    <row r="22" ht="12.75">
      <c r="B22" s="64" t="s">
        <v>32</v>
      </c>
    </row>
    <row r="23" ht="12.75">
      <c r="B23" s="64"/>
    </row>
    <row r="24" ht="12.75">
      <c r="B24" s="64" t="s">
        <v>48</v>
      </c>
    </row>
    <row r="25" ht="12.75">
      <c r="B25" s="64" t="s">
        <v>49</v>
      </c>
    </row>
  </sheetData>
  <sheetProtection password="DCC8" sheet="1" objects="1" scenarios="1"/>
  <dataValidations count="1">
    <dataValidation type="list" allowBlank="1" showInputMessage="1" showErrorMessage="1" sqref="C11">
      <formula1>Materials</formula1>
    </dataValidation>
  </dataValidation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9"/>
  <dimension ref="B1:M31"/>
  <sheetViews>
    <sheetView showGridLines="0" zoomScalePageLayoutView="0" workbookViewId="0" topLeftCell="A10">
      <selection activeCell="H13" sqref="H13"/>
    </sheetView>
  </sheetViews>
  <sheetFormatPr defaultColWidth="9.140625" defaultRowHeight="12.75"/>
  <cols>
    <col min="1" max="1" width="5.140625" style="53" customWidth="1"/>
    <col min="2" max="2" width="46.140625" style="53" customWidth="1"/>
    <col min="3" max="3" width="11.421875" style="53" customWidth="1"/>
    <col min="4" max="4" width="11.7109375" style="53" customWidth="1"/>
    <col min="5" max="5" width="5.8515625" style="53" customWidth="1"/>
    <col min="6" max="6" width="8.7109375" style="53" customWidth="1"/>
    <col min="7" max="7" width="9.140625" style="53" customWidth="1"/>
    <col min="8" max="8" width="12.421875" style="53" bestFit="1" customWidth="1"/>
    <col min="9" max="16384" width="9.140625" style="53" customWidth="1"/>
  </cols>
  <sheetData>
    <row r="1" ht="15.75">
      <c r="B1" s="52" t="s">
        <v>33</v>
      </c>
    </row>
    <row r="2" ht="12.75"/>
    <row r="3" spans="2:4" ht="12.75">
      <c r="B3" s="54" t="s">
        <v>19</v>
      </c>
      <c r="C3" s="54" t="s">
        <v>1</v>
      </c>
      <c r="D3" s="54" t="s">
        <v>2</v>
      </c>
    </row>
    <row r="4" spans="2:4" ht="12.75">
      <c r="B4" s="55" t="s">
        <v>34</v>
      </c>
      <c r="C4" s="43" t="s">
        <v>7</v>
      </c>
      <c r="D4" s="43" t="s">
        <v>7</v>
      </c>
    </row>
    <row r="5" spans="2:4" ht="12.75">
      <c r="B5" s="55" t="s">
        <v>47</v>
      </c>
      <c r="C5" s="43" t="s">
        <v>48</v>
      </c>
      <c r="D5" s="44" t="s">
        <v>48</v>
      </c>
    </row>
    <row r="6" spans="2:4" ht="12.75">
      <c r="B6" s="56" t="s">
        <v>20</v>
      </c>
      <c r="C6" s="45" t="str">
        <f>HLOOKUP(C4,MaterialData!$C$3:$K$4,2,FALSE)</f>
        <v>Steel</v>
      </c>
      <c r="D6" s="45" t="str">
        <f>HLOOKUP(D4,MaterialData!$C$3:$K$4,2,FALSE)</f>
        <v>Steel</v>
      </c>
    </row>
    <row r="7" spans="2:9" ht="12.75">
      <c r="B7" s="56" t="s">
        <v>21</v>
      </c>
      <c r="C7" s="45">
        <f>INDEX(Innertable,MATCH($B7,MaterialData!$B$5:$B$10,0),MATCH(C$6,MaterialData!$C$4:$K$4,0))</f>
        <v>200000000000</v>
      </c>
      <c r="D7" s="45">
        <f>INDEX(Innertable,MATCH($B7,MaterialData!$B$5:$B$10,0),MATCH(D$6,MaterialData!$C$4:$K$4,0))</f>
        <v>200000000000</v>
      </c>
      <c r="I7" s="57"/>
    </row>
    <row r="8" spans="2:9" ht="12.75">
      <c r="B8" s="56" t="s">
        <v>10</v>
      </c>
      <c r="C8" s="45">
        <f>INDEX(Innertable,MATCH($B8,MaterialData!$B$5:$B$10,0),MATCH(C$6,MaterialData!$C$4:$K$4,0))</f>
        <v>305000000</v>
      </c>
      <c r="D8" s="45">
        <f>INDEX(Innertable,MATCH($B8,MaterialData!$B$5:$B$10,0),MATCH(D$6,MaterialData!$C$4:$K$4,0))</f>
        <v>305000000</v>
      </c>
      <c r="I8" s="57"/>
    </row>
    <row r="9" spans="2:9" ht="12.75">
      <c r="B9" s="56" t="s">
        <v>11</v>
      </c>
      <c r="C9" s="45">
        <f>INDEX(Innertable,MATCH($B9,MaterialData!$B$5:$B$10,0),MATCH(C$6,MaterialData!$C$4:$K$4,0))</f>
        <v>365000000</v>
      </c>
      <c r="D9" s="45">
        <f>INDEX(Innertable,MATCH($B9,MaterialData!$B$5:$B$10,0),MATCH(D$6,MaterialData!$C$4:$K$4,0))</f>
        <v>365000000</v>
      </c>
      <c r="I9" s="57"/>
    </row>
    <row r="10" spans="2:9" ht="12.75">
      <c r="B10" s="56" t="s">
        <v>9</v>
      </c>
      <c r="C10" s="45">
        <f>INDEX(Innertable,MATCH($B10,MaterialData!$B$5:$B$10,0),MATCH(C$6,MaterialData!$C$4:$K$4,0))</f>
        <v>180000000</v>
      </c>
      <c r="D10" s="45">
        <f>INDEX(Innertable,MATCH($B10,MaterialData!$B$5:$B$10,0),MATCH(D$6,MaterialData!$C$4:$K$4,0))</f>
        <v>180000000</v>
      </c>
      <c r="I10" s="57"/>
    </row>
    <row r="11" spans="2:9" ht="12.75">
      <c r="B11" s="56" t="s">
        <v>8</v>
      </c>
      <c r="C11" s="45">
        <f>INDEX(Innertable,MATCH($B11,MaterialData!$B$5:$B$10,0),MATCH(C$6,MaterialData!$C$4:$K$4,0))</f>
        <v>300000000</v>
      </c>
      <c r="D11" s="45">
        <f>INDEX(Innertable,MATCH($B11,MaterialData!$B$5:$B$10,0),MATCH(D$6,MaterialData!$C$4:$K$4,0))</f>
        <v>300000000</v>
      </c>
      <c r="I11" s="57"/>
    </row>
    <row r="12" ht="12.75">
      <c r="I12" s="57"/>
    </row>
    <row r="13" spans="2:9" ht="12.75">
      <c r="B13" s="56" t="s">
        <v>114</v>
      </c>
      <c r="C13" s="43">
        <f>IF(AND(D13&gt;=25,D13&lt;25.4,D14&gt;=2.5),25,25.4)</f>
        <v>25.4</v>
      </c>
      <c r="D13" s="4"/>
      <c r="I13" s="57"/>
    </row>
    <row r="14" spans="2:9" ht="12.75">
      <c r="B14" s="56" t="s">
        <v>115</v>
      </c>
      <c r="C14" s="43">
        <f>IF(AND(D13&gt;=25,D13&lt;25.4,D14&gt;=2.5),2.5,2.4)</f>
        <v>2.4</v>
      </c>
      <c r="D14" s="4"/>
      <c r="I14" s="57"/>
    </row>
    <row r="15" ht="12.75">
      <c r="I15" s="57"/>
    </row>
    <row r="16" spans="2:9" ht="12.75">
      <c r="B16" s="56"/>
      <c r="C16" s="54" t="s">
        <v>1</v>
      </c>
      <c r="D16" s="54" t="s">
        <v>2</v>
      </c>
      <c r="I16" s="57"/>
    </row>
    <row r="17" spans="2:9" ht="12.75">
      <c r="B17" s="56" t="s">
        <v>4</v>
      </c>
      <c r="C17" s="43">
        <f>C13/1000</f>
        <v>0.0254</v>
      </c>
      <c r="D17" s="43">
        <f>D13/1000</f>
        <v>0</v>
      </c>
      <c r="I17" s="57"/>
    </row>
    <row r="18" spans="2:13" ht="12.75">
      <c r="B18" s="56" t="s">
        <v>107</v>
      </c>
      <c r="C18" s="43">
        <f>C14/1000</f>
        <v>0.0024</v>
      </c>
      <c r="D18" s="43">
        <f>D14/1000</f>
        <v>0</v>
      </c>
      <c r="I18" s="57"/>
      <c r="M18" s="58"/>
    </row>
    <row r="19" spans="2:13" ht="12.75">
      <c r="B19" s="56" t="s">
        <v>3</v>
      </c>
      <c r="C19" s="43">
        <f>((C17)^4-((C17-2*C18))^4)*3.142/64</f>
        <v>1.1593489847999996E-08</v>
      </c>
      <c r="D19" s="43">
        <f>IF(D5="Round",((D17)^4-((D17-2*D18))^4)*3.142/64,IF(D5="Square",((D17)^4-((D17-2*D18))^4)/12,""))</f>
        <v>0</v>
      </c>
      <c r="I19" s="57"/>
      <c r="L19" s="57"/>
      <c r="M19" s="58"/>
    </row>
    <row r="20" spans="2:5" ht="12.75">
      <c r="B20" s="56" t="s">
        <v>0</v>
      </c>
      <c r="C20" s="45">
        <f>C7*C19</f>
        <v>2318.6979695999994</v>
      </c>
      <c r="D20" s="45">
        <f>D7*D19</f>
        <v>0</v>
      </c>
      <c r="E20" s="51">
        <f aca="true" t="shared" si="0" ref="E20:E28">100*D20/C20</f>
        <v>0</v>
      </c>
    </row>
    <row r="21" spans="2:12" ht="12.75">
      <c r="B21" s="56" t="s">
        <v>108</v>
      </c>
      <c r="C21" s="46">
        <f>(C13^2-(C13-2*C14)^2)*PI()/4</f>
        <v>173.41591447815662</v>
      </c>
      <c r="D21" s="46">
        <f>(D13^2-(D13-2*D14)^2)*PI()/4</f>
        <v>0</v>
      </c>
      <c r="E21" s="51">
        <f t="shared" si="0"/>
        <v>0</v>
      </c>
      <c r="F21" s="53">
        <f>IF(AND(95&lt;E21,E21&lt;100),"Provided your actual tube measures &gt;= your nominal OD and wall this is OK","")</f>
      </c>
      <c r="L21" s="57"/>
    </row>
    <row r="22" spans="2:6" ht="12.75">
      <c r="B22" s="56" t="s">
        <v>109</v>
      </c>
      <c r="C22" s="45">
        <f aca="true" t="shared" si="1" ref="C22:D24">C$21*C8/1000000</f>
        <v>52891.85391583777</v>
      </c>
      <c r="D22" s="45">
        <f t="shared" si="1"/>
        <v>0</v>
      </c>
      <c r="E22" s="51">
        <f t="shared" si="0"/>
        <v>0</v>
      </c>
      <c r="F22" s="53">
        <f>IF(AND(95&lt;E22,E22&lt;100),"Provided your actual tube measures &gt;= your nominal OD and wall this is OK","")</f>
      </c>
    </row>
    <row r="23" spans="2:12" ht="12.75">
      <c r="B23" s="56" t="s">
        <v>5</v>
      </c>
      <c r="C23" s="45">
        <f t="shared" si="1"/>
        <v>63296.808784527166</v>
      </c>
      <c r="D23" s="45">
        <f t="shared" si="1"/>
        <v>0</v>
      </c>
      <c r="E23" s="51">
        <f t="shared" si="0"/>
        <v>0</v>
      </c>
      <c r="F23" s="53">
        <f>IF(AND(95&lt;E23,E23&lt;100),"Provided your actual tube measures &gt;= your nominal OD and wall this is OK","")</f>
      </c>
      <c r="L23" s="57"/>
    </row>
    <row r="24" spans="2:12" ht="12.75">
      <c r="B24" s="56" t="s">
        <v>110</v>
      </c>
      <c r="C24" s="45">
        <f t="shared" si="1"/>
        <v>31214.864606068193</v>
      </c>
      <c r="D24" s="45">
        <f t="shared" si="1"/>
        <v>0</v>
      </c>
      <c r="E24" s="51">
        <f t="shared" si="0"/>
        <v>0</v>
      </c>
      <c r="F24" s="53">
        <f>IF(AND(95&lt;E24,E24&lt;100),"Provided your actual tube measures &gt;= your nominal OD and wall this is OK","")</f>
      </c>
      <c r="L24" s="57"/>
    </row>
    <row r="25" spans="2:12" ht="12.75">
      <c r="B25" s="56" t="s">
        <v>6</v>
      </c>
      <c r="C25" s="45">
        <f>C$21*C11/1000000</f>
        <v>52024.77434344698</v>
      </c>
      <c r="D25" s="45">
        <f>D$21*D11/1000000</f>
        <v>0</v>
      </c>
      <c r="E25" s="51">
        <f t="shared" si="0"/>
        <v>0</v>
      </c>
      <c r="F25" s="53">
        <f>IF(AND(95&lt;E25,E25&lt;100),"Provided your actual tube measures &gt;= your nominal OD and wall this is OK","")</f>
      </c>
      <c r="L25" s="57"/>
    </row>
    <row r="26" spans="2:7" ht="12.75">
      <c r="B26" s="56" t="s">
        <v>111</v>
      </c>
      <c r="C26" s="45">
        <f>4*C9*C19/(0.5*C17*1)</f>
        <v>1332.7948959118107</v>
      </c>
      <c r="D26" s="45" t="e">
        <f>4*D9*D19/(0.5*D17*1)</f>
        <v>#DIV/0!</v>
      </c>
      <c r="E26" s="51" t="e">
        <f t="shared" si="0"/>
        <v>#DIV/0!</v>
      </c>
      <c r="G26" s="57"/>
    </row>
    <row r="27" spans="2:5" ht="12.75">
      <c r="B27" s="56" t="s">
        <v>112</v>
      </c>
      <c r="C27" s="45">
        <f>C26*1^3/(48*C7*C19)</f>
        <v>0.011975065616797901</v>
      </c>
      <c r="D27" s="45" t="e">
        <f>C26*1^3/(48*D7*D19)</f>
        <v>#DIV/0!</v>
      </c>
      <c r="E27" s="51" t="e">
        <f t="shared" si="0"/>
        <v>#DIV/0!</v>
      </c>
    </row>
    <row r="28" spans="2:5" ht="12.75">
      <c r="B28" s="56" t="s">
        <v>113</v>
      </c>
      <c r="C28" s="45">
        <f>0.5*C26*(C26*1^3/(48*C7*C19))</f>
        <v>7.980153166138631</v>
      </c>
      <c r="D28" s="45" t="e">
        <f>0.5*D26*(D26*1^3/(48*D7*D19))</f>
        <v>#DIV/0!</v>
      </c>
      <c r="E28" s="51" t="e">
        <f t="shared" si="0"/>
        <v>#DIV/0!</v>
      </c>
    </row>
    <row r="30" ht="12.75">
      <c r="D30" s="57"/>
    </row>
    <row r="31" ht="12.75">
      <c r="D31" s="57"/>
    </row>
  </sheetData>
  <sheetProtection password="DCC8" sheet="1" objects="1" scenarios="1"/>
  <conditionalFormatting sqref="E28 E20:E26">
    <cfRule type="cellIs" priority="1" dxfId="0" operator="greaterThanOrEqual" stopIfTrue="1">
      <formula>100</formula>
    </cfRule>
    <cfRule type="cellIs" priority="2" dxfId="1" operator="lessThan" stopIfTrue="1">
      <formula>100</formula>
    </cfRule>
  </conditionalFormatting>
  <conditionalFormatting sqref="E27">
    <cfRule type="cellIs" priority="3" dxfId="1" operator="greaterThanOrEqual" stopIfTrue="1">
      <formula>100.01</formula>
    </cfRule>
    <cfRule type="cellIs" priority="4" dxfId="0" operator="lessThan" stopIfTrue="1">
      <formula>100.01</formula>
    </cfRule>
  </conditionalFormatting>
  <dataValidations count="3">
    <dataValidation type="list" allowBlank="1" showInputMessage="1" showErrorMessage="1" promptTitle="Select Material" sqref="C12:D12 C4">
      <formula1>Materials</formula1>
    </dataValidation>
    <dataValidation type="list" allowBlank="1" showInputMessage="1" showErrorMessage="1" sqref="D5">
      <formula1>"Round"</formula1>
    </dataValidation>
    <dataValidation type="list" allowBlank="1" showInputMessage="1" showErrorMessage="1" promptTitle="Select Material" sqref="D4">
      <formula1>"Steel"</formula1>
    </dataValidation>
  </dataValidations>
  <printOptions/>
  <pageMargins left="0.75" right="0.75" top="1" bottom="1" header="0.5" footer="0.5"/>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10"/>
  <dimension ref="B1:N30"/>
  <sheetViews>
    <sheetView showGridLines="0" zoomScalePageLayoutView="0" workbookViewId="0" topLeftCell="A1">
      <selection activeCell="H13" sqref="H13"/>
    </sheetView>
  </sheetViews>
  <sheetFormatPr defaultColWidth="9.140625" defaultRowHeight="12.75"/>
  <cols>
    <col min="1" max="1" width="5.57421875" style="53" customWidth="1"/>
    <col min="2" max="2" width="46.140625" style="53" customWidth="1"/>
    <col min="3" max="3" width="11.421875" style="53" customWidth="1"/>
    <col min="4" max="4" width="11.7109375" style="53" customWidth="1"/>
    <col min="5" max="5" width="5.8515625" style="53" customWidth="1"/>
    <col min="6" max="6" width="8.7109375" style="53" customWidth="1"/>
    <col min="7" max="7" width="9.140625" style="53" customWidth="1"/>
    <col min="8" max="8" width="12.421875" style="53" bestFit="1" customWidth="1"/>
    <col min="9" max="16384" width="9.140625" style="53" customWidth="1"/>
  </cols>
  <sheetData>
    <row r="1" ht="15.75">
      <c r="B1" s="52" t="s">
        <v>40</v>
      </c>
    </row>
    <row r="2" ht="12.75"/>
    <row r="3" spans="2:4" ht="12.75">
      <c r="B3" s="54" t="s">
        <v>19</v>
      </c>
      <c r="C3" s="54" t="s">
        <v>1</v>
      </c>
      <c r="D3" s="54" t="s">
        <v>2</v>
      </c>
    </row>
    <row r="4" spans="2:4" ht="12.75">
      <c r="B4" s="55" t="s">
        <v>34</v>
      </c>
      <c r="C4" s="43" t="s">
        <v>7</v>
      </c>
      <c r="D4" s="32" t="s">
        <v>7</v>
      </c>
    </row>
    <row r="5" spans="2:4" ht="12.75">
      <c r="B5" s="55" t="s">
        <v>47</v>
      </c>
      <c r="C5" s="43" t="s">
        <v>48</v>
      </c>
      <c r="D5" s="4" t="s">
        <v>48</v>
      </c>
    </row>
    <row r="6" spans="2:4" ht="12.75">
      <c r="B6" s="56" t="s">
        <v>20</v>
      </c>
      <c r="C6" s="45" t="str">
        <f>HLOOKUP(C4,MaterialData!$C$3:$K$4,2,FALSE)</f>
        <v>Steel</v>
      </c>
      <c r="D6" s="45" t="str">
        <f>HLOOKUP(D4,MaterialData!$C$3:$K$4,2,FALSE)</f>
        <v>Steel</v>
      </c>
    </row>
    <row r="7" spans="2:9" ht="12.75">
      <c r="B7" s="56" t="s">
        <v>21</v>
      </c>
      <c r="C7" s="45">
        <f>INDEX(Innertable,MATCH($B7,MaterialData!$B$5:$B$10,0),MATCH(C$6,MaterialData!$C$4:$K$4,0))</f>
        <v>200000000000</v>
      </c>
      <c r="D7" s="45">
        <f>INDEX(Innertable,MATCH($B7,MaterialData!$B$5:$B$10,0),MATCH(D$6,MaterialData!$C$4:$K$4,0))</f>
        <v>200000000000</v>
      </c>
      <c r="I7" s="57"/>
    </row>
    <row r="8" spans="2:9" ht="12.75">
      <c r="B8" s="56" t="s">
        <v>10</v>
      </c>
      <c r="C8" s="45">
        <f>INDEX(Innertable,MATCH($B8,MaterialData!$B$5:$B$10,0),MATCH(C$6,MaterialData!$C$4:$K$4,0))</f>
        <v>305000000</v>
      </c>
      <c r="D8" s="45">
        <f>INDEX(Innertable,MATCH($B8,MaterialData!$B$5:$B$10,0),MATCH(D$6,MaterialData!$C$4:$K$4,0))</f>
        <v>305000000</v>
      </c>
      <c r="I8" s="57"/>
    </row>
    <row r="9" spans="2:9" ht="12.75">
      <c r="B9" s="56" t="s">
        <v>11</v>
      </c>
      <c r="C9" s="45">
        <f>INDEX(Innertable,MATCH($B9,MaterialData!$B$5:$B$10,0),MATCH(C$6,MaterialData!$C$4:$K$4,0))</f>
        <v>365000000</v>
      </c>
      <c r="D9" s="45">
        <f>INDEX(Innertable,MATCH($B9,MaterialData!$B$5:$B$10,0),MATCH(D$6,MaterialData!$C$4:$K$4,0))</f>
        <v>365000000</v>
      </c>
      <c r="I9" s="57"/>
    </row>
    <row r="10" spans="2:9" ht="12.75">
      <c r="B10" s="56" t="s">
        <v>9</v>
      </c>
      <c r="C10" s="45">
        <f>INDEX(Innertable,MATCH($B10,MaterialData!$B$5:$B$10,0),MATCH(C$6,MaterialData!$C$4:$K$4,0))</f>
        <v>180000000</v>
      </c>
      <c r="D10" s="45">
        <f>INDEX(Innertable,MATCH($B10,MaterialData!$B$5:$B$10,0),MATCH(D$6,MaterialData!$C$4:$K$4,0))</f>
        <v>180000000</v>
      </c>
      <c r="I10" s="57"/>
    </row>
    <row r="11" spans="2:9" ht="12.75">
      <c r="B11" s="56" t="s">
        <v>8</v>
      </c>
      <c r="C11" s="45">
        <f>INDEX(Innertable,MATCH($B11,MaterialData!$B$5:$B$10,0),MATCH(C$6,MaterialData!$C$4:$K$4,0))</f>
        <v>300000000</v>
      </c>
      <c r="D11" s="45">
        <f>INDEX(Innertable,MATCH($B11,MaterialData!$B$5:$B$10,0),MATCH(D$6,MaterialData!$C$4:$K$4,0))</f>
        <v>300000000</v>
      </c>
      <c r="I11" s="57"/>
    </row>
    <row r="12" ht="12.75">
      <c r="I12" s="57"/>
    </row>
    <row r="13" spans="2:9" ht="12.75">
      <c r="B13" s="56" t="s">
        <v>114</v>
      </c>
      <c r="C13" s="43">
        <f>IF(AND(D13&gt;=25,D13&lt;25.4,D14&gt;=2.5),25,25.4)</f>
        <v>25.4</v>
      </c>
      <c r="D13" s="4"/>
      <c r="I13" s="57"/>
    </row>
    <row r="14" spans="2:9" ht="12.75">
      <c r="B14" s="56" t="s">
        <v>115</v>
      </c>
      <c r="C14" s="43">
        <f>IF(AND(D13&gt;=25,D13&lt;25.4,D14&gt;=2.5),2.5,2.4)</f>
        <v>2.4</v>
      </c>
      <c r="D14" s="4"/>
      <c r="I14" s="57"/>
    </row>
    <row r="15" ht="12.75">
      <c r="I15" s="57"/>
    </row>
    <row r="16" spans="2:9" ht="12.75">
      <c r="B16" s="56"/>
      <c r="C16" s="54" t="s">
        <v>1</v>
      </c>
      <c r="D16" s="54" t="s">
        <v>2</v>
      </c>
      <c r="I16" s="57"/>
    </row>
    <row r="17" spans="2:9" ht="12.75">
      <c r="B17" s="56" t="s">
        <v>4</v>
      </c>
      <c r="C17" s="43">
        <f>C13/1000</f>
        <v>0.0254</v>
      </c>
      <c r="D17" s="43">
        <f>D13/1000</f>
        <v>0</v>
      </c>
      <c r="I17" s="57"/>
    </row>
    <row r="18" spans="2:13" ht="12.75">
      <c r="B18" s="56" t="s">
        <v>107</v>
      </c>
      <c r="C18" s="43">
        <f>C14/1000</f>
        <v>0.0024</v>
      </c>
      <c r="D18" s="43">
        <f>D14/1000</f>
        <v>0</v>
      </c>
      <c r="I18" s="57"/>
      <c r="M18" s="58"/>
    </row>
    <row r="19" spans="2:13" ht="12.75">
      <c r="B19" s="56" t="s">
        <v>3</v>
      </c>
      <c r="C19" s="43">
        <f>((C17)^4-((C17-2*C18))^4)*3.142/64</f>
        <v>1.1593489847999996E-08</v>
      </c>
      <c r="D19" s="43">
        <f>IF(D5="Round",((D17)^4-((D17-2*D18))^4)*3.142/64,IF(D5="Square",((D17)^4-((D17-2*D18))^4)/12,""))</f>
        <v>0</v>
      </c>
      <c r="I19" s="57"/>
      <c r="L19" s="57"/>
      <c r="M19" s="58"/>
    </row>
    <row r="20" spans="2:5" ht="12.75">
      <c r="B20" s="56" t="s">
        <v>0</v>
      </c>
      <c r="C20" s="45">
        <f>C7*C19</f>
        <v>2318.6979695999994</v>
      </c>
      <c r="D20" s="45">
        <f>D7*D19</f>
        <v>0</v>
      </c>
      <c r="E20" s="59">
        <f>100*$D$20/$C$20</f>
        <v>0</v>
      </c>
    </row>
    <row r="21" spans="2:12" ht="12.75">
      <c r="B21" s="56" t="s">
        <v>108</v>
      </c>
      <c r="C21" s="46">
        <f>(C13^2-(C13-2*C14)^2)*PI()/4</f>
        <v>173.41591447815662</v>
      </c>
      <c r="D21" s="46">
        <f>IF(D5="Round",(D13^2-(D13-2*D14)^2)*PI()/4,IF(D5="Square",D13^2-(D13-2*D14)^2,""))</f>
        <v>0</v>
      </c>
      <c r="E21" s="59">
        <f>IF(D4="steel",100*$D$21/$C$21,"NA")</f>
        <v>0</v>
      </c>
      <c r="F21" s="53">
        <f>IF(AND(95&lt;E21,E21&lt;100),"Provided your actual tube measures &gt;= your nominal OD and wall this is OK","")</f>
      </c>
      <c r="L21" s="57"/>
    </row>
    <row r="22" spans="2:6" ht="12.75">
      <c r="B22" s="56" t="s">
        <v>109</v>
      </c>
      <c r="C22" s="45">
        <f aca="true" t="shared" si="0" ref="C22:D25">C$21*C8/1000000</f>
        <v>52891.85391583777</v>
      </c>
      <c r="D22" s="45">
        <f t="shared" si="0"/>
        <v>0</v>
      </c>
      <c r="E22" s="59">
        <f>100*$D$22/$C$22</f>
        <v>0</v>
      </c>
      <c r="F22" s="53">
        <f>IF(AND(95&lt;E22,E22&lt;100),"Provided your actual tube measures &gt;= your nominal OD and wall this is OK","")</f>
      </c>
    </row>
    <row r="23" spans="2:12" ht="12.75">
      <c r="B23" s="56" t="s">
        <v>5</v>
      </c>
      <c r="C23" s="45">
        <f t="shared" si="0"/>
        <v>63296.808784527166</v>
      </c>
      <c r="D23" s="45">
        <f t="shared" si="0"/>
        <v>0</v>
      </c>
      <c r="E23" s="59">
        <f>100*$D$23/$C$23</f>
        <v>0</v>
      </c>
      <c r="F23" s="53">
        <f>IF(AND(95&lt;E23,E23&lt;100),"Provided your actual tube measures &gt;= your nominal OD and wall this is OK","")</f>
      </c>
      <c r="L23" s="57"/>
    </row>
    <row r="24" spans="2:12" ht="12.75">
      <c r="B24" s="56" t="s">
        <v>110</v>
      </c>
      <c r="C24" s="45">
        <f t="shared" si="0"/>
        <v>31214.864606068193</v>
      </c>
      <c r="D24" s="45">
        <f t="shared" si="0"/>
        <v>0</v>
      </c>
      <c r="E24" s="59">
        <f>100*$D$24/$C$24</f>
        <v>0</v>
      </c>
      <c r="F24" s="53">
        <f>IF(AND(95&lt;E24,E24&lt;100),"Provided your actual tube measures &gt;= your nominal OD and wall this is OK","")</f>
      </c>
      <c r="L24" s="57"/>
    </row>
    <row r="25" spans="2:12" ht="12.75">
      <c r="B25" s="56" t="s">
        <v>6</v>
      </c>
      <c r="C25" s="45">
        <f t="shared" si="0"/>
        <v>52024.77434344698</v>
      </c>
      <c r="D25" s="45">
        <f t="shared" si="0"/>
        <v>0</v>
      </c>
      <c r="E25" s="59">
        <f>100*$D$25/$C$25</f>
        <v>0</v>
      </c>
      <c r="F25" s="53">
        <f>IF(AND(95&lt;E25,E25&lt;100),"Provided your actual tube measures &gt;= your nominal OD and wall this is OK","")</f>
      </c>
      <c r="L25" s="57"/>
    </row>
    <row r="26" spans="2:5" ht="12.75">
      <c r="B26" s="56" t="s">
        <v>111</v>
      </c>
      <c r="C26" s="45">
        <f>4*C9*C19/(0.5*C17*1)</f>
        <v>1332.7948959118107</v>
      </c>
      <c r="D26" s="45" t="e">
        <f>4*D9*D19/(0.5*D17*1)</f>
        <v>#DIV/0!</v>
      </c>
      <c r="E26" s="59" t="e">
        <f>100*$D$26/$C$26</f>
        <v>#DIV/0!</v>
      </c>
    </row>
    <row r="27" spans="2:5" ht="12.75">
      <c r="B27" s="56" t="s">
        <v>112</v>
      </c>
      <c r="C27" s="45">
        <f>C26*1^3/(48*C7*C19)</f>
        <v>0.011975065616797901</v>
      </c>
      <c r="D27" s="45" t="e">
        <f>C26*1^3/(48*D7*D19)</f>
        <v>#DIV/0!</v>
      </c>
      <c r="E27" s="59" t="e">
        <f>100*$D$27/$C$27</f>
        <v>#DIV/0!</v>
      </c>
    </row>
    <row r="28" spans="2:5" ht="12.75">
      <c r="B28" s="56" t="s">
        <v>113</v>
      </c>
      <c r="C28" s="45">
        <f>0.5*C26*(C26*1^3/(48*C7*C19))</f>
        <v>7.980153166138631</v>
      </c>
      <c r="D28" s="45" t="e">
        <f>0.5*D26*(D26*1^3/(48*D7*D19))</f>
        <v>#DIV/0!</v>
      </c>
      <c r="E28" s="59" t="e">
        <f>100*$D$28/$C$28</f>
        <v>#DIV/0!</v>
      </c>
    </row>
    <row r="29" spans="5:14" ht="12.75">
      <c r="E29" s="60"/>
      <c r="F29" s="60"/>
      <c r="G29" s="60"/>
      <c r="H29" s="60"/>
      <c r="I29" s="60"/>
      <c r="J29" s="60"/>
      <c r="K29" s="60"/>
      <c r="L29" s="60"/>
      <c r="M29" s="60"/>
      <c r="N29" s="60"/>
    </row>
    <row r="30" ht="12.75">
      <c r="C30" s="57"/>
    </row>
  </sheetData>
  <sheetProtection password="DCC8" sheet="1" objects="1" scenarios="1"/>
  <conditionalFormatting sqref="E28 E20:E26">
    <cfRule type="cellIs" priority="1" dxfId="0" operator="greaterThanOrEqual" stopIfTrue="1">
      <formula>100</formula>
    </cfRule>
    <cfRule type="cellIs" priority="2" dxfId="1" operator="lessThan" stopIfTrue="1">
      <formula>100</formula>
    </cfRule>
  </conditionalFormatting>
  <conditionalFormatting sqref="E27">
    <cfRule type="cellIs" priority="3" dxfId="1" operator="greaterThanOrEqual" stopIfTrue="1">
      <formula>100.01</formula>
    </cfRule>
    <cfRule type="cellIs" priority="4" dxfId="0" operator="lessThan" stopIfTrue="1">
      <formula>100.01</formula>
    </cfRule>
  </conditionalFormatting>
  <dataValidations count="2">
    <dataValidation type="list" allowBlank="1" showInputMessage="1" showErrorMessage="1" promptTitle="Select Material" sqref="C12:D12 C4:D4">
      <formula1>Materials</formula1>
    </dataValidation>
    <dataValidation type="list" allowBlank="1" showInputMessage="1" showErrorMessage="1" sqref="D5">
      <formula1>Tube_Type</formula1>
    </dataValidation>
  </dataValidations>
  <printOptions/>
  <pageMargins left="0.75" right="0.75" top="1" bottom="1" header="0.5" footer="0.5"/>
  <pageSetup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12"/>
  <dimension ref="B1:M28"/>
  <sheetViews>
    <sheetView showGridLines="0" zoomScalePageLayoutView="0" workbookViewId="0" topLeftCell="A9">
      <selection activeCell="G16" sqref="G16"/>
    </sheetView>
  </sheetViews>
  <sheetFormatPr defaultColWidth="9.140625" defaultRowHeight="12.75"/>
  <cols>
    <col min="1" max="1" width="5.140625" style="53" customWidth="1"/>
    <col min="2" max="2" width="47.00390625" style="53" customWidth="1"/>
    <col min="3" max="3" width="11.421875" style="53" customWidth="1"/>
    <col min="4" max="4" width="11.7109375" style="53" customWidth="1"/>
    <col min="5" max="5" width="8.57421875" style="53" bestFit="1" customWidth="1"/>
    <col min="6" max="6" width="8.7109375" style="53" customWidth="1"/>
    <col min="7" max="7" width="9.140625" style="53" customWidth="1"/>
    <col min="8" max="8" width="12.421875" style="53" bestFit="1" customWidth="1"/>
    <col min="9" max="16384" width="9.140625" style="53" customWidth="1"/>
  </cols>
  <sheetData>
    <row r="1" ht="15.75">
      <c r="B1" s="52" t="s">
        <v>101</v>
      </c>
    </row>
    <row r="2" ht="12.75"/>
    <row r="3" spans="2:4" ht="12.75">
      <c r="B3" s="54" t="s">
        <v>19</v>
      </c>
      <c r="C3" s="54" t="s">
        <v>1</v>
      </c>
      <c r="D3" s="54" t="s">
        <v>2</v>
      </c>
    </row>
    <row r="4" spans="2:4" ht="12.75">
      <c r="B4" s="55" t="s">
        <v>34</v>
      </c>
      <c r="C4" s="43" t="s">
        <v>7</v>
      </c>
      <c r="D4" s="43" t="s">
        <v>7</v>
      </c>
    </row>
    <row r="5" spans="2:4" ht="12.75">
      <c r="B5" s="55" t="s">
        <v>47</v>
      </c>
      <c r="C5" s="44" t="s">
        <v>48</v>
      </c>
      <c r="D5" s="32"/>
    </row>
    <row r="6" spans="2:4" ht="12.75">
      <c r="B6" s="56" t="s">
        <v>20</v>
      </c>
      <c r="C6" s="45" t="str">
        <f>HLOOKUP(C4,MaterialData!$C$3:$K$4,2,FALSE)</f>
        <v>Steel</v>
      </c>
      <c r="D6" s="45" t="str">
        <f>HLOOKUP(D4,MaterialData!$C$3:$K$4,2,FALSE)</f>
        <v>Steel</v>
      </c>
    </row>
    <row r="7" spans="2:9" ht="12.75">
      <c r="B7" s="56" t="s">
        <v>21</v>
      </c>
      <c r="C7" s="45">
        <f>INDEX(Innertable,MATCH($B7,MaterialData!$B$5:$B$10,0),MATCH(C$6,MaterialData!$C$4:$K$4,0))</f>
        <v>200000000000</v>
      </c>
      <c r="D7" s="45">
        <f>INDEX(Innertable,MATCH($B7,MaterialData!$B$5:$B$10,0),MATCH(D$6,MaterialData!$C$4:$K$4,0))</f>
        <v>200000000000</v>
      </c>
      <c r="I7" s="57"/>
    </row>
    <row r="8" spans="2:9" ht="12.75">
      <c r="B8" s="56" t="s">
        <v>10</v>
      </c>
      <c r="C8" s="45">
        <f>INDEX(Innertable,MATCH($B8,MaterialData!$B$5:$B$10,0),MATCH(C$6,MaterialData!$C$4:$K$4,0))</f>
        <v>305000000</v>
      </c>
      <c r="D8" s="45">
        <f>INDEX(Innertable,MATCH($B8,MaterialData!$B$5:$B$10,0),MATCH(D$6,MaterialData!$C$4:$K$4,0))</f>
        <v>305000000</v>
      </c>
      <c r="I8" s="57"/>
    </row>
    <row r="9" spans="2:9" ht="12.75">
      <c r="B9" s="56" t="s">
        <v>11</v>
      </c>
      <c r="C9" s="45">
        <f>INDEX(Innertable,MATCH($B9,MaterialData!$B$5:$B$10,0),MATCH(C$6,MaterialData!$C$4:$K$4,0))</f>
        <v>365000000</v>
      </c>
      <c r="D9" s="45">
        <f>INDEX(Innertable,MATCH($B9,MaterialData!$B$5:$B$10,0),MATCH(D$6,MaterialData!$C$4:$K$4,0))</f>
        <v>365000000</v>
      </c>
      <c r="I9" s="57"/>
    </row>
    <row r="10" spans="2:9" ht="12.75">
      <c r="B10" s="56" t="s">
        <v>9</v>
      </c>
      <c r="C10" s="45">
        <f>INDEX(Innertable,MATCH($B10,MaterialData!$B$5:$B$10,0),MATCH(C$6,MaterialData!$C$4:$K$4,0))</f>
        <v>180000000</v>
      </c>
      <c r="D10" s="45">
        <f>INDEX(Innertable,MATCH($B10,MaterialData!$B$5:$B$10,0),MATCH(D$6,MaterialData!$C$4:$K$4,0))</f>
        <v>180000000</v>
      </c>
      <c r="I10" s="57"/>
    </row>
    <row r="11" spans="2:9" ht="12.75">
      <c r="B11" s="56" t="s">
        <v>8</v>
      </c>
      <c r="C11" s="45">
        <f>INDEX(Innertable,MATCH($B11,MaterialData!$B$5:$B$10,0),MATCH(C$6,MaterialData!$C$4:$K$4,0))</f>
        <v>300000000</v>
      </c>
      <c r="D11" s="45">
        <f>INDEX(Innertable,MATCH($B11,MaterialData!$B$5:$B$10,0),MATCH(D$6,MaterialData!$C$4:$K$4,0))</f>
        <v>300000000</v>
      </c>
      <c r="I11" s="57"/>
    </row>
    <row r="12" ht="12.75">
      <c r="I12" s="57"/>
    </row>
    <row r="13" spans="2:9" ht="12.75">
      <c r="B13" s="56" t="s">
        <v>114</v>
      </c>
      <c r="C13" s="43">
        <f>IF(AND(D5="round",D14&gt;=1.75),25,25.4)</f>
        <v>25.4</v>
      </c>
      <c r="D13" s="32"/>
      <c r="I13" s="57"/>
    </row>
    <row r="14" spans="2:9" ht="12.75">
      <c r="B14" s="56" t="s">
        <v>115</v>
      </c>
      <c r="C14" s="43">
        <f>IF(AND(D5="round",C13=25),1.75,1.6)</f>
        <v>1.6</v>
      </c>
      <c r="D14" s="32"/>
      <c r="I14" s="57"/>
    </row>
    <row r="15" ht="12.75">
      <c r="I15" s="57"/>
    </row>
    <row r="16" spans="2:9" ht="12.75">
      <c r="B16" s="56"/>
      <c r="C16" s="54" t="s">
        <v>1</v>
      </c>
      <c r="D16" s="54" t="s">
        <v>2</v>
      </c>
      <c r="I16" s="57"/>
    </row>
    <row r="17" spans="2:9" ht="12.75">
      <c r="B17" s="56" t="s">
        <v>4</v>
      </c>
      <c r="C17" s="43">
        <f>C13/1000</f>
        <v>0.0254</v>
      </c>
      <c r="D17" s="43">
        <f>D13/1000</f>
        <v>0</v>
      </c>
      <c r="I17" s="57"/>
    </row>
    <row r="18" spans="2:13" ht="12.75">
      <c r="B18" s="56" t="s">
        <v>107</v>
      </c>
      <c r="C18" s="43">
        <f>C14/1000</f>
        <v>0.0016</v>
      </c>
      <c r="D18" s="43">
        <f>D14/1000</f>
        <v>0</v>
      </c>
      <c r="I18" s="57"/>
      <c r="M18" s="58"/>
    </row>
    <row r="19" spans="2:13" ht="12.75">
      <c r="B19" s="56" t="s">
        <v>3</v>
      </c>
      <c r="C19" s="45">
        <f>IF(C5="Round",((C17)^4-((C17-2*C18))^4)*3.142/64,IF(C5="Square",((C17)^4-((C17-2*C18))^4)/12,""))</f>
        <v>8.509918480000002E-09</v>
      </c>
      <c r="D19" s="45">
        <f>IF(D5="Round",((D17)^4-((D17-2*D18))^4)*3.142/64,IF(D5="Square",((D17)^4-((D17-2*D18))^4)/12,""))</f>
      </c>
      <c r="I19" s="57"/>
      <c r="L19" s="57"/>
      <c r="M19" s="58"/>
    </row>
    <row r="20" spans="2:5" ht="12.75">
      <c r="B20" s="56" t="s">
        <v>0</v>
      </c>
      <c r="C20" s="45">
        <f>C7*C19</f>
        <v>1701.9836960000005</v>
      </c>
      <c r="D20" s="45" t="e">
        <f>D7*D19</f>
        <v>#VALUE!</v>
      </c>
      <c r="E20" s="51" t="e">
        <f aca="true" t="shared" si="0" ref="E20:E28">100*D20/C20</f>
        <v>#VALUE!</v>
      </c>
    </row>
    <row r="21" spans="2:12" ht="12.75">
      <c r="B21" s="56" t="s">
        <v>108</v>
      </c>
      <c r="C21" s="46">
        <f>IF(C5="Round",(C13^2-(C13-2*C14)^2)*PI()/4,IF(C5="Square",C13^2-(C13-2*C14)^2,""))</f>
        <v>119.63184824869931</v>
      </c>
      <c r="D21" s="46">
        <f>IF(D5="Round",(D13^2-(D13-2*D14)^2)*PI()/4,IF(D5="Square",D13^2-(D13-2*D14)^2,""))</f>
      </c>
      <c r="E21" s="51" t="e">
        <f t="shared" si="0"/>
        <v>#VALUE!</v>
      </c>
      <c r="F21" s="53" t="e">
        <f>IF(AND(95&lt;E21,E21&lt;100),"Provided your actual tube measures &gt;= your nominal OD and wall this is OK","")</f>
        <v>#VALUE!</v>
      </c>
      <c r="L21" s="57"/>
    </row>
    <row r="22" spans="2:6" ht="12.75">
      <c r="B22" s="56" t="s">
        <v>109</v>
      </c>
      <c r="C22" s="45">
        <f aca="true" t="shared" si="1" ref="C22:D24">C$21*C8/1000000</f>
        <v>36487.71371585329</v>
      </c>
      <c r="D22" s="45" t="e">
        <f t="shared" si="1"/>
        <v>#VALUE!</v>
      </c>
      <c r="E22" s="51" t="e">
        <f t="shared" si="0"/>
        <v>#VALUE!</v>
      </c>
      <c r="F22" s="53" t="e">
        <f>IF(AND(95&lt;E22,E22&lt;100),"Provided your actual tube measures &gt;= your nominal OD and wall this is OK","")</f>
        <v>#VALUE!</v>
      </c>
    </row>
    <row r="23" spans="2:12" ht="12.75">
      <c r="B23" s="56" t="s">
        <v>5</v>
      </c>
      <c r="C23" s="45">
        <f t="shared" si="1"/>
        <v>43665.624610775245</v>
      </c>
      <c r="D23" s="45" t="e">
        <f t="shared" si="1"/>
        <v>#VALUE!</v>
      </c>
      <c r="E23" s="51" t="e">
        <f t="shared" si="0"/>
        <v>#VALUE!</v>
      </c>
      <c r="F23" s="53" t="e">
        <f>IF(AND(95&lt;E23,E23&lt;100),"Provided your actual tube measures &gt;= your nominal OD and wall this is OK","")</f>
        <v>#VALUE!</v>
      </c>
      <c r="L23" s="57"/>
    </row>
    <row r="24" spans="2:12" ht="12.75">
      <c r="B24" s="56" t="s">
        <v>110</v>
      </c>
      <c r="C24" s="45">
        <f t="shared" si="1"/>
        <v>21533.732684765877</v>
      </c>
      <c r="D24" s="45" t="e">
        <f t="shared" si="1"/>
        <v>#VALUE!</v>
      </c>
      <c r="E24" s="51" t="e">
        <f t="shared" si="0"/>
        <v>#VALUE!</v>
      </c>
      <c r="F24" s="53" t="e">
        <f>IF(AND(95&lt;E24,E24&lt;100),"Provided your actual tube measures &gt;= your nominal OD and wall this is OK","")</f>
        <v>#VALUE!</v>
      </c>
      <c r="L24" s="57"/>
    </row>
    <row r="25" spans="2:12" ht="12.75">
      <c r="B25" s="56" t="s">
        <v>6</v>
      </c>
      <c r="C25" s="45">
        <f>C$21*C11/1000000</f>
        <v>35889.554474609795</v>
      </c>
      <c r="D25" s="45" t="e">
        <f>D$21*D11/1000000</f>
        <v>#VALUE!</v>
      </c>
      <c r="E25" s="51" t="e">
        <f t="shared" si="0"/>
        <v>#VALUE!</v>
      </c>
      <c r="F25" s="53" t="e">
        <f>IF(AND(95&lt;E25,E25&lt;100),"Provided your actual tube measures &gt;= your nominal OD and wall this is OK","")</f>
        <v>#VALUE!</v>
      </c>
      <c r="L25" s="57"/>
    </row>
    <row r="26" spans="2:5" ht="12.75">
      <c r="B26" s="56" t="s">
        <v>111</v>
      </c>
      <c r="C26" s="45">
        <f>4*C9*C19/(0.5*C17*1)</f>
        <v>978.3055890393704</v>
      </c>
      <c r="D26" s="45" t="e">
        <f>4*D9*D19/(0.5*D17*1)</f>
        <v>#VALUE!</v>
      </c>
      <c r="E26" s="51" t="e">
        <f t="shared" si="0"/>
        <v>#VALUE!</v>
      </c>
    </row>
    <row r="27" spans="2:5" ht="12.75">
      <c r="B27" s="56" t="s">
        <v>112</v>
      </c>
      <c r="C27" s="45">
        <f>C26*1^3/(48*C7*C19)</f>
        <v>0.0119750656167979</v>
      </c>
      <c r="D27" s="45" t="e">
        <f>C26*1^3/(48*D7*D19)</f>
        <v>#VALUE!</v>
      </c>
      <c r="E27" s="51" t="e">
        <f t="shared" si="0"/>
        <v>#VALUE!</v>
      </c>
    </row>
    <row r="28" spans="2:5" ht="12.75">
      <c r="B28" s="56" t="s">
        <v>113</v>
      </c>
      <c r="C28" s="45">
        <f>0.5*C26*(C26*1^3/(48*C7*C19))</f>
        <v>5.85763681101329</v>
      </c>
      <c r="D28" s="45" t="e">
        <f>0.5*D26*(D26*1^3/(48*D7*D19))</f>
        <v>#VALUE!</v>
      </c>
      <c r="E28" s="51" t="e">
        <f t="shared" si="0"/>
        <v>#VALUE!</v>
      </c>
    </row>
  </sheetData>
  <sheetProtection password="DCC8" sheet="1" objects="1" scenarios="1"/>
  <conditionalFormatting sqref="E28 E20:E26">
    <cfRule type="cellIs" priority="1" dxfId="0" operator="greaterThanOrEqual" stopIfTrue="1">
      <formula>100</formula>
    </cfRule>
    <cfRule type="cellIs" priority="2" dxfId="1" operator="lessThan" stopIfTrue="1">
      <formula>100</formula>
    </cfRule>
  </conditionalFormatting>
  <conditionalFormatting sqref="E27">
    <cfRule type="cellIs" priority="3" dxfId="1" operator="greaterThanOrEqual" stopIfTrue="1">
      <formula>100.01</formula>
    </cfRule>
    <cfRule type="cellIs" priority="4" dxfId="0" operator="lessThan" stopIfTrue="1">
      <formula>100.01</formula>
    </cfRule>
  </conditionalFormatting>
  <dataValidations count="3">
    <dataValidation type="list" allowBlank="1" showInputMessage="1" showErrorMessage="1" promptTitle="Select Material" sqref="C12:D12 C4:D4">
      <formula1>Materials</formula1>
    </dataValidation>
    <dataValidation allowBlank="1" showInputMessage="1" showErrorMessage="1" promptTitle="Select Material" sqref="C5"/>
    <dataValidation type="list" allowBlank="1" showInputMessage="1" showErrorMessage="1" promptTitle="Select Material" sqref="D5">
      <formula1>Tube_Type</formula1>
    </dataValidation>
  </dataValidations>
  <printOptions/>
  <pageMargins left="0.75" right="0.75" top="1" bottom="1" header="0.5" footer="0.5"/>
  <pageSetup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17"/>
  <dimension ref="B1:P36"/>
  <sheetViews>
    <sheetView showGridLines="0" zoomScalePageLayoutView="0" workbookViewId="0" topLeftCell="A4">
      <selection activeCell="K16" sqref="K16"/>
    </sheetView>
  </sheetViews>
  <sheetFormatPr defaultColWidth="9.140625" defaultRowHeight="12.75"/>
  <cols>
    <col min="1" max="1" width="3.421875" style="53" customWidth="1"/>
    <col min="2" max="2" width="45.57421875" style="53" customWidth="1"/>
    <col min="3" max="3" width="11.421875" style="53" customWidth="1"/>
    <col min="4" max="4" width="3.57421875" style="76" customWidth="1"/>
    <col min="5" max="5" width="11.7109375" style="53" customWidth="1"/>
    <col min="6" max="6" width="15.28125" style="53" customWidth="1"/>
    <col min="7" max="7" width="11.7109375" style="53" customWidth="1"/>
    <col min="8" max="8" width="6.140625" style="53" customWidth="1"/>
    <col min="9" max="9" width="8.7109375" style="53" customWidth="1"/>
    <col min="10" max="16384" width="9.140625" style="53" customWidth="1"/>
  </cols>
  <sheetData>
    <row r="1" ht="15.75">
      <c r="B1" s="52" t="s">
        <v>45</v>
      </c>
    </row>
    <row r="2" spans="3:7" ht="12.75">
      <c r="C2" s="270" t="s">
        <v>29</v>
      </c>
      <c r="D2" s="270"/>
      <c r="E2" s="270"/>
      <c r="F2" s="271" t="s">
        <v>30</v>
      </c>
      <c r="G2" s="272"/>
    </row>
    <row r="3" ht="12.75"/>
    <row r="4" spans="2:7" ht="12.75">
      <c r="B4" s="54" t="s">
        <v>19</v>
      </c>
      <c r="C4" s="54" t="s">
        <v>1</v>
      </c>
      <c r="D4" s="77"/>
      <c r="E4" s="54" t="s">
        <v>2</v>
      </c>
      <c r="F4" s="54" t="s">
        <v>22</v>
      </c>
      <c r="G4" s="54" t="s">
        <v>23</v>
      </c>
    </row>
    <row r="5" spans="2:7" ht="12.75">
      <c r="B5" s="55" t="s">
        <v>34</v>
      </c>
      <c r="C5" s="43" t="s">
        <v>7</v>
      </c>
      <c r="E5" s="32"/>
      <c r="F5" s="88"/>
      <c r="G5" s="78"/>
    </row>
    <row r="6" spans="2:7" ht="12.75">
      <c r="B6" s="55" t="s">
        <v>50</v>
      </c>
      <c r="C6" s="43" t="s">
        <v>48</v>
      </c>
      <c r="E6" s="32"/>
      <c r="F6" s="79" t="s">
        <v>24</v>
      </c>
      <c r="G6" s="80"/>
    </row>
    <row r="7" spans="2:7" ht="12.75">
      <c r="B7" s="56" t="s">
        <v>20</v>
      </c>
      <c r="C7" s="45" t="str">
        <f>HLOOKUP(C5,MaterialData!$C$3:$K$4,2,FALSE)</f>
        <v>Steel</v>
      </c>
      <c r="D7" s="81"/>
      <c r="E7" s="45" t="e">
        <f>HLOOKUP(E5,MaterialData!$C$3:$K$4,2,FALSE)</f>
        <v>#N/A</v>
      </c>
      <c r="F7" s="45" t="e">
        <f>HLOOKUP(F5,MaterialData!$C$3:$K$4,2,FALSE)</f>
        <v>#N/A</v>
      </c>
      <c r="G7" s="82"/>
    </row>
    <row r="8" spans="2:12" ht="12.75">
      <c r="B8" s="56" t="s">
        <v>21</v>
      </c>
      <c r="C8" s="45">
        <f>INDEX(Innertable,MATCH($B8,MaterialData!$B$5:$B$10,0),MATCH(C$7,MaterialData!$C$4:$K$4,0))</f>
        <v>200000000000</v>
      </c>
      <c r="D8" s="81"/>
      <c r="E8" s="45" t="e">
        <f>INDEX(Innertable,MATCH($B8,MaterialData!$B$5:$B$10,0),MATCH(E$7,MaterialData!$C$4:$K$4,0))</f>
        <v>#N/A</v>
      </c>
      <c r="F8" s="45" t="e">
        <f>INDEX(Innertable,MATCH($B8,MaterialData!$B$5:$B$10,0),MATCH(F$7,MaterialData!$C$4:$K$4,0))</f>
        <v>#N/A</v>
      </c>
      <c r="G8" s="82"/>
      <c r="L8" s="57"/>
    </row>
    <row r="9" spans="2:12" ht="12.75">
      <c r="B9" s="56" t="s">
        <v>10</v>
      </c>
      <c r="C9" s="45">
        <f>INDEX(Innertable,MATCH($B9,MaterialData!$B$5:$B$10,0),MATCH(C$7,MaterialData!$C$4:$K$4,0))</f>
        <v>305000000</v>
      </c>
      <c r="D9" s="81"/>
      <c r="E9" s="45" t="e">
        <f>INDEX(Innertable,MATCH($B9,MaterialData!$B$5:$B$10,0),MATCH(E$7,MaterialData!$C$4:$K$4,0))</f>
        <v>#N/A</v>
      </c>
      <c r="F9" s="45" t="e">
        <f>INDEX(Innertable,MATCH($B9,MaterialData!$B$5:$B$10,0),MATCH(F$7,MaterialData!$C$4:$K$4,0))</f>
        <v>#N/A</v>
      </c>
      <c r="G9" s="82"/>
      <c r="L9" s="57"/>
    </row>
    <row r="10" spans="2:12" ht="12.75">
      <c r="B10" s="56" t="s">
        <v>11</v>
      </c>
      <c r="C10" s="45">
        <f>INDEX(Innertable,MATCH($B10,MaterialData!$B$5:$B$10,0),MATCH(C$7,MaterialData!$C$4:$K$4,0))</f>
        <v>365000000</v>
      </c>
      <c r="D10" s="81"/>
      <c r="E10" s="45" t="e">
        <f>INDEX(Innertable,MATCH($B10,MaterialData!$B$5:$B$10,0),MATCH(E$7,MaterialData!$C$4:$K$4,0))</f>
        <v>#N/A</v>
      </c>
      <c r="F10" s="45" t="e">
        <f>INDEX(Innertable,MATCH($B10,MaterialData!$B$5:$B$10,0),MATCH(F$7,MaterialData!$C$4:$K$4,0))</f>
        <v>#N/A</v>
      </c>
      <c r="G10" s="82"/>
      <c r="L10" s="57"/>
    </row>
    <row r="11" spans="2:12" ht="12.75">
      <c r="B11" s="56" t="s">
        <v>9</v>
      </c>
      <c r="C11" s="45">
        <f>INDEX(Innertable,MATCH($B11,MaterialData!$B$5:$B$10,0),MATCH(C$7,MaterialData!$C$4:$K$4,0))</f>
        <v>180000000</v>
      </c>
      <c r="D11" s="81"/>
      <c r="E11" s="45" t="e">
        <f>INDEX(Innertable,MATCH($B11,MaterialData!$B$5:$B$10,0),MATCH(E$7,MaterialData!$C$4:$K$4,0))</f>
        <v>#N/A</v>
      </c>
      <c r="F11" s="45" t="e">
        <f>INDEX(Innertable,MATCH($B11,MaterialData!$B$5:$B$10,0),MATCH(F$7,MaterialData!$C$4:$K$4,0))</f>
        <v>#N/A</v>
      </c>
      <c r="G11" s="82"/>
      <c r="L11" s="57"/>
    </row>
    <row r="12" spans="2:12" ht="12.75">
      <c r="B12" s="56" t="s">
        <v>8</v>
      </c>
      <c r="C12" s="45">
        <f>INDEX(Innertable,MATCH($B12,MaterialData!$B$5:$B$10,0),MATCH(C$7,MaterialData!$C$4:$K$4,0))</f>
        <v>300000000</v>
      </c>
      <c r="D12" s="81"/>
      <c r="E12" s="45" t="e">
        <f>INDEX(Innertable,MATCH($B12,MaterialData!$B$5:$B$10,0),MATCH(E$7,MaterialData!$C$4:$K$4,0))</f>
        <v>#N/A</v>
      </c>
      <c r="F12" s="45" t="e">
        <f>INDEX(Innertable,MATCH($B12,MaterialData!$B$5:$B$10,0),MATCH(F$7,MaterialData!$C$4:$K$4,0))</f>
        <v>#N/A</v>
      </c>
      <c r="G12" s="82"/>
      <c r="L12" s="57"/>
    </row>
    <row r="13" spans="3:12" ht="12.75">
      <c r="C13" s="76"/>
      <c r="D13" s="53"/>
      <c r="E13" s="78"/>
      <c r="G13" s="80"/>
      <c r="L13" s="57"/>
    </row>
    <row r="14" spans="2:12" ht="12.75">
      <c r="B14" s="56" t="s">
        <v>35</v>
      </c>
      <c r="C14" s="43">
        <v>2</v>
      </c>
      <c r="D14" s="53"/>
      <c r="E14" s="32"/>
      <c r="G14" s="80"/>
      <c r="L14" s="57"/>
    </row>
    <row r="15" spans="2:12" ht="12.75">
      <c r="B15" s="56" t="s">
        <v>114</v>
      </c>
      <c r="C15" s="43">
        <f>IF(AND(E16&gt;=1.2,E16&lt;1.25),26,IF(AND(E16&gt;=1.25,E16&lt;1.5),25.4,25))</f>
        <v>25</v>
      </c>
      <c r="E15" s="32"/>
      <c r="F15" s="76"/>
      <c r="G15" s="80"/>
      <c r="L15" s="57"/>
    </row>
    <row r="16" spans="2:12" ht="12.75">
      <c r="B16" s="56" t="s">
        <v>115</v>
      </c>
      <c r="C16" s="43">
        <f>IF(C15=25.4,1.25,IF(C15=25,1.5,1.2))</f>
        <v>1.5</v>
      </c>
      <c r="E16" s="32"/>
      <c r="F16" s="76"/>
      <c r="G16" s="80"/>
      <c r="L16" s="57"/>
    </row>
    <row r="17" spans="2:12" ht="12.75">
      <c r="B17" s="76"/>
      <c r="C17" s="76"/>
      <c r="E17" s="80"/>
      <c r="F17" s="76"/>
      <c r="G17" s="80"/>
      <c r="L17" s="57"/>
    </row>
    <row r="18" spans="2:12" ht="12.75">
      <c r="B18" s="75" t="s">
        <v>25</v>
      </c>
      <c r="C18" s="76"/>
      <c r="E18" s="80"/>
      <c r="F18" s="50"/>
      <c r="G18" s="80"/>
      <c r="L18" s="57"/>
    </row>
    <row r="19" spans="2:12" ht="12.75">
      <c r="B19" s="75" t="s">
        <v>26</v>
      </c>
      <c r="C19" s="76"/>
      <c r="E19" s="80"/>
      <c r="F19" s="50"/>
      <c r="G19" s="80"/>
      <c r="L19" s="57"/>
    </row>
    <row r="20" spans="2:12" ht="12.75">
      <c r="B20" s="75" t="s">
        <v>27</v>
      </c>
      <c r="E20" s="80"/>
      <c r="F20" s="83">
        <f>(F18-F19)/2</f>
        <v>0</v>
      </c>
      <c r="G20" s="80"/>
      <c r="L20" s="57"/>
    </row>
    <row r="21" spans="2:12" ht="12.75">
      <c r="B21" s="75" t="s">
        <v>28</v>
      </c>
      <c r="E21" s="80"/>
      <c r="F21" s="50"/>
      <c r="G21" s="80"/>
      <c r="L21" s="57"/>
    </row>
    <row r="22" spans="2:12" ht="12.75">
      <c r="B22" s="76"/>
      <c r="C22" s="76"/>
      <c r="E22" s="84"/>
      <c r="F22" s="76"/>
      <c r="G22" s="80"/>
      <c r="L22" s="57"/>
    </row>
    <row r="23" spans="2:12" ht="12.75">
      <c r="B23" s="56" t="s">
        <v>4</v>
      </c>
      <c r="C23" s="43">
        <f>C15/1000</f>
        <v>0.025</v>
      </c>
      <c r="E23" s="43">
        <f>IF(F2="Composite only","No tubes",E15/1000)</f>
        <v>0</v>
      </c>
      <c r="F23" s="76"/>
      <c r="G23" s="80"/>
      <c r="L23" s="57"/>
    </row>
    <row r="24" spans="2:16" ht="12.75">
      <c r="B24" s="56" t="s">
        <v>107</v>
      </c>
      <c r="C24" s="43">
        <f>C16/1000</f>
        <v>0.0015</v>
      </c>
      <c r="E24" s="43">
        <f>IF(F2="Composite only","",E16/1000)</f>
        <v>0</v>
      </c>
      <c r="F24" s="76"/>
      <c r="G24" s="84"/>
      <c r="L24" s="57"/>
      <c r="P24" s="58"/>
    </row>
    <row r="25" spans="2:16" ht="12.75">
      <c r="B25" s="56" t="s">
        <v>3</v>
      </c>
      <c r="C25" s="45">
        <f>IF(C6="Round",((C23)^4-((C23-2*C24))^4)*3.142/64,((C23)^4-((C23-2*C24))^4)/12)</f>
        <v>7.676740593750004E-09</v>
      </c>
      <c r="E25" s="45">
        <f>IF(F2="Composite only","",IF(E6="Round",((E23)^4-((E23-2*E24))^4)*3.142/64,IF(E6="Square",((E23)^4-((E23-2*E24))^4)/12,"")))</f>
      </c>
      <c r="F25" s="86" t="str">
        <f>IF($F$2="Tubing only","Tubing Only",(F21/1000)*((F18/1000)^3-(F19/1000)^3)/12)</f>
        <v>Tubing Only</v>
      </c>
      <c r="G25" s="45">
        <f aca="true" t="shared" si="0" ref="G25:G32">IF($F$2="Tubing only",E25,IF($F$2="Composite only",F25,IF($F$2="Tubes + Composite",E25+F25,"No Type Selected")))</f>
      </c>
      <c r="L25" s="57"/>
      <c r="O25" s="57"/>
      <c r="P25" s="58"/>
    </row>
    <row r="26" spans="2:8" ht="12.75">
      <c r="B26" s="56" t="s">
        <v>0</v>
      </c>
      <c r="C26" s="45">
        <f>C8*C25*C14</f>
        <v>3070.696237500001</v>
      </c>
      <c r="D26" s="81"/>
      <c r="E26" s="45" t="e">
        <f>IF(F2="Composite only","",E8*E25*E14)</f>
        <v>#N/A</v>
      </c>
      <c r="F26" s="86">
        <f>IF(F25="Tubing Only","",F25*F8)</f>
      </c>
      <c r="G26" s="45" t="e">
        <f t="shared" si="0"/>
        <v>#N/A</v>
      </c>
      <c r="H26" s="51" t="e">
        <f aca="true" t="shared" si="1" ref="H26:H32">100*G26/C26</f>
        <v>#N/A</v>
      </c>
    </row>
    <row r="27" spans="2:15" ht="12.75">
      <c r="B27" s="56" t="s">
        <v>108</v>
      </c>
      <c r="C27" s="46">
        <f>IF(C23="no tubes","",IF(C14=0,"",IF(C6="Round",C14*((C15^2-(C15-2*C16)^2)*PI()/4),IF(C6="Square",C14*(C15^2-(C15-2*C16)^2),""))))</f>
        <v>221.4822820780804</v>
      </c>
      <c r="D27" s="87"/>
      <c r="E27" s="46">
        <f>IF(E23="no tubes","",IF(E14=0,"",IF(E6="Round",E14*((E15^2-(E15-2*E16)^2)*PI()/4),IF(E6="Square",E14*(E15^2-(E15-2*E16)^2),""))))</f>
      </c>
      <c r="F27" s="46">
        <f>IF(F25="Tubing Only","",(F18-F19)*F21)</f>
      </c>
      <c r="G27" s="46">
        <f t="shared" si="0"/>
      </c>
      <c r="H27" s="51" t="str">
        <f>IF(AND(F2="tubing only",E5="steel"),100*G27/C27,"NA")</f>
        <v>NA</v>
      </c>
      <c r="I27" s="53">
        <f>IF(AND(95&lt;H27,H27&lt;100),"For tubes only, provided your actual tube measures &gt;= your nominal OD and wall this is OK","")</f>
      </c>
      <c r="O27" s="57"/>
    </row>
    <row r="28" spans="2:9" ht="12.75">
      <c r="B28" s="56" t="s">
        <v>109</v>
      </c>
      <c r="C28" s="45">
        <f>C$27*C9/1000000</f>
        <v>67552.09603381452</v>
      </c>
      <c r="D28" s="81"/>
      <c r="E28" s="45" t="e">
        <f>IF(F2="Composite only","",E$27*E9/1000000)</f>
        <v>#VALUE!</v>
      </c>
      <c r="F28" s="45">
        <f>IF(F25="Tubing Only","",F27*F9/1000000)</f>
      </c>
      <c r="G28" s="45" t="e">
        <f t="shared" si="0"/>
        <v>#VALUE!</v>
      </c>
      <c r="H28" s="51" t="e">
        <f t="shared" si="1"/>
        <v>#VALUE!</v>
      </c>
      <c r="I28" s="53" t="e">
        <f>IF(AND(95&lt;H28,H28&lt;100),"For tubes only, provided your actual tube measures &gt;= your nominal OD and wall this is OK","")</f>
        <v>#VALUE!</v>
      </c>
    </row>
    <row r="29" spans="2:15" ht="12.75">
      <c r="B29" s="56" t="s">
        <v>5</v>
      </c>
      <c r="C29" s="45">
        <f>C$27*C10/1000000</f>
        <v>80841.03295849935</v>
      </c>
      <c r="D29" s="81"/>
      <c r="E29" s="45" t="e">
        <f>IF(F2="Composite only","",E$27*E10/1000000)</f>
        <v>#VALUE!</v>
      </c>
      <c r="F29" s="45">
        <f>IF(F25="Tubing Only","",F27*F10/1000000)</f>
      </c>
      <c r="G29" s="45" t="e">
        <f t="shared" si="0"/>
        <v>#VALUE!</v>
      </c>
      <c r="H29" s="51" t="e">
        <f t="shared" si="1"/>
        <v>#VALUE!</v>
      </c>
      <c r="I29" s="53" t="e">
        <f>IF(AND(95&lt;H29,H29&lt;100),"For tubes only, provided your actual tube measures &gt;= your nominal OD and wall this is OK","")</f>
        <v>#VALUE!</v>
      </c>
      <c r="O29" s="57"/>
    </row>
    <row r="30" spans="2:15" ht="12.75">
      <c r="B30" s="56" t="s">
        <v>110</v>
      </c>
      <c r="C30" s="45">
        <f>C$27*C11/1000000</f>
        <v>39866.81077405447</v>
      </c>
      <c r="D30" s="81"/>
      <c r="E30" s="45" t="e">
        <f>IF(F2="Composite only","",E$27*E11/1000000)</f>
        <v>#VALUE!</v>
      </c>
      <c r="F30" s="45">
        <f>IF(F25="Tubing Only","",F27*F9/1000000)</f>
      </c>
      <c r="G30" s="45" t="e">
        <f t="shared" si="0"/>
        <v>#VALUE!</v>
      </c>
      <c r="H30" s="51" t="e">
        <f t="shared" si="1"/>
        <v>#VALUE!</v>
      </c>
      <c r="I30" s="53" t="e">
        <f>IF(AND(95&lt;H30,H30&lt;100),"For tubes only, provided your actual tube measures &gt;= your nominal OD and wall this is OK","")</f>
        <v>#VALUE!</v>
      </c>
      <c r="O30" s="57"/>
    </row>
    <row r="31" spans="2:15" ht="12.75">
      <c r="B31" s="56" t="s">
        <v>6</v>
      </c>
      <c r="C31" s="45">
        <f>IF(C14=0,"",C$27*C12/1000000)</f>
        <v>66444.68462342412</v>
      </c>
      <c r="D31" s="81"/>
      <c r="E31" s="45" t="e">
        <f>IF(F2="Composite only","",E$27*E12/1000000)</f>
        <v>#VALUE!</v>
      </c>
      <c r="F31" s="45">
        <f>IF(F25="tubing only","",F27*F10/1000000)</f>
      </c>
      <c r="G31" s="45" t="e">
        <f t="shared" si="0"/>
        <v>#VALUE!</v>
      </c>
      <c r="H31" s="51" t="e">
        <f t="shared" si="1"/>
        <v>#VALUE!</v>
      </c>
      <c r="I31" s="53" t="e">
        <f>IF(AND(95&lt;H31,H31&lt;100),"For tubes only, provided your actual tube measures &gt;= your nominal OD and wall this is OK","")</f>
        <v>#VALUE!</v>
      </c>
      <c r="O31" s="57"/>
    </row>
    <row r="32" spans="2:8" ht="12.75">
      <c r="B32" s="56" t="s">
        <v>111</v>
      </c>
      <c r="C32" s="45">
        <f>C14*4*C10*C25/(0.5*C23*1)</f>
        <v>1793.2866027000007</v>
      </c>
      <c r="E32" s="45" t="e">
        <f>IF(F2="Composite only","",E14*4*E10*E25/(0.5*E23*1))</f>
        <v>#N/A</v>
      </c>
      <c r="F32" s="45">
        <f>IF(F25="tubing only","",4*F10*F25/(0.001*0.5*F18*1))</f>
      </c>
      <c r="G32" s="45" t="e">
        <f t="shared" si="0"/>
        <v>#N/A</v>
      </c>
      <c r="H32" s="51" t="e">
        <f t="shared" si="1"/>
        <v>#N/A</v>
      </c>
    </row>
    <row r="33" spans="2:8" ht="12.75">
      <c r="B33" s="56" t="s">
        <v>112</v>
      </c>
      <c r="C33" s="45">
        <f>IF(C14=0,"",C32*1^3/(48*C26))</f>
        <v>0.012166666666666666</v>
      </c>
      <c r="E33" s="45" t="e">
        <f>IF($F$2="tubing only",$C$32*1^3/(48*E26),"")</f>
        <v>#N/A</v>
      </c>
      <c r="F33" s="45">
        <f>IF($F$2="tubing only","",$C$32*1^3/(48*F26))</f>
      </c>
      <c r="G33" s="45" t="e">
        <f>$C$32*1^3/(48*G26)</f>
        <v>#N/A</v>
      </c>
      <c r="H33" s="51" t="e">
        <f>100*G33/C33</f>
        <v>#N/A</v>
      </c>
    </row>
    <row r="34" spans="2:8" ht="12.75">
      <c r="B34" s="56" t="s">
        <v>113</v>
      </c>
      <c r="C34" s="45">
        <f>0.5*C32*(C32*1^3/(48*C26))</f>
        <v>10.909160166425004</v>
      </c>
      <c r="D34" s="66"/>
      <c r="E34" s="45" t="e">
        <f>IF(E23="no tubes","",0.5*E32*(E32*1^3/(48*E26)))</f>
        <v>#N/A</v>
      </c>
      <c r="F34" s="45">
        <f>IF(F25="tubing only","",0.5*F32*(F32*1^3/(48*F26)))</f>
      </c>
      <c r="G34" s="45" t="e">
        <f>IF($F$2="Tubing only",E34,IF($F$2="Composite only",F34,IF($F$2="Tubes + Composite",E34+F34,"No Type Selected")))</f>
        <v>#N/A</v>
      </c>
      <c r="H34" s="51" t="e">
        <f>100*G34/C34</f>
        <v>#N/A</v>
      </c>
    </row>
    <row r="35" ht="12.75">
      <c r="C35" s="57"/>
    </row>
    <row r="36" ht="12.75">
      <c r="E36" s="57"/>
    </row>
  </sheetData>
  <sheetProtection password="DCC8" sheet="1" objects="1" scenarios="1"/>
  <mergeCells count="2">
    <mergeCell ref="C2:E2"/>
    <mergeCell ref="F2:G2"/>
  </mergeCells>
  <conditionalFormatting sqref="H26:H32 H34">
    <cfRule type="cellIs" priority="1" dxfId="0" operator="greaterThanOrEqual" stopIfTrue="1">
      <formula>100</formula>
    </cfRule>
    <cfRule type="cellIs" priority="2" dxfId="1" operator="lessThan" stopIfTrue="1">
      <formula>100</formula>
    </cfRule>
  </conditionalFormatting>
  <conditionalFormatting sqref="H33">
    <cfRule type="cellIs" priority="3" dxfId="1" operator="greaterThanOrEqual" stopIfTrue="1">
      <formula>100.01</formula>
    </cfRule>
    <cfRule type="cellIs" priority="4" dxfId="0" operator="lessThan" stopIfTrue="1">
      <formula>100.01</formula>
    </cfRule>
  </conditionalFormatting>
  <dataValidations count="5">
    <dataValidation type="list" allowBlank="1" showInputMessage="1" showErrorMessage="1" promptTitle="Select Material" sqref="G13:G14 C5 D5:D6 G5:G6 E5:F5">
      <formula1>Materials</formula1>
    </dataValidation>
    <dataValidation type="list" allowBlank="1" showInputMessage="1" showErrorMessage="1" sqref="F2">
      <formula1>ConstructionType</formula1>
    </dataValidation>
    <dataValidation allowBlank="1" showInputMessage="1" showErrorMessage="1" promptTitle="Select Material" sqref="C6"/>
    <dataValidation type="list" allowBlank="1" showInputMessage="1" showErrorMessage="1" promptTitle="Select Material" sqref="E6">
      <formula1>Tube_Type</formula1>
    </dataValidation>
    <dataValidation allowBlank="1" showInputMessage="1" showErrorMessage="1" promptTitle="Select Material" sqref="F6"/>
  </dataValidations>
  <printOptions/>
  <pageMargins left="0.75" right="0.75" top="1" bottom="1" header="0.5" footer="0.5"/>
  <pageSetup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26"/>
  <dimension ref="B1:P34"/>
  <sheetViews>
    <sheetView showGridLines="0" zoomScalePageLayoutView="0" workbookViewId="0" topLeftCell="A1">
      <selection activeCell="B1" sqref="B1"/>
    </sheetView>
  </sheetViews>
  <sheetFormatPr defaultColWidth="9.140625" defaultRowHeight="12.75"/>
  <cols>
    <col min="1" max="1" width="3.421875" style="123" customWidth="1"/>
    <col min="2" max="2" width="45.140625" style="123" customWidth="1"/>
    <col min="3" max="3" width="11.421875" style="123" customWidth="1"/>
    <col min="4" max="4" width="3.57421875" style="124" customWidth="1"/>
    <col min="5" max="5" width="11.7109375" style="123" customWidth="1"/>
    <col min="6" max="6" width="15.28125" style="123" customWidth="1"/>
    <col min="7" max="7" width="11.7109375" style="123" customWidth="1"/>
    <col min="8" max="8" width="6.140625" style="123" customWidth="1"/>
    <col min="9" max="9" width="8.7109375" style="123" customWidth="1"/>
    <col min="10" max="16384" width="9.140625" style="123" customWidth="1"/>
  </cols>
  <sheetData>
    <row r="1" ht="15.75">
      <c r="B1" s="122" t="s">
        <v>41</v>
      </c>
    </row>
    <row r="2" spans="3:7" ht="12.75">
      <c r="C2" s="273" t="s">
        <v>29</v>
      </c>
      <c r="D2" s="274"/>
      <c r="E2" s="275"/>
      <c r="F2" s="276" t="s">
        <v>30</v>
      </c>
      <c r="G2" s="277"/>
    </row>
    <row r="3" ht="12.75"/>
    <row r="4" spans="2:7" ht="12.75">
      <c r="B4" s="125" t="s">
        <v>19</v>
      </c>
      <c r="C4" s="125" t="s">
        <v>1</v>
      </c>
      <c r="D4" s="126"/>
      <c r="E4" s="125" t="s">
        <v>2</v>
      </c>
      <c r="F4" s="127" t="s">
        <v>22</v>
      </c>
      <c r="G4" s="125" t="s">
        <v>23</v>
      </c>
    </row>
    <row r="5" spans="2:7" ht="12.75">
      <c r="B5" s="128" t="s">
        <v>34</v>
      </c>
      <c r="C5" s="129" t="s">
        <v>7</v>
      </c>
      <c r="E5" s="130"/>
      <c r="F5" s="131"/>
      <c r="G5" s="132"/>
    </row>
    <row r="6" spans="2:8" ht="12.75">
      <c r="B6" s="128" t="s">
        <v>50</v>
      </c>
      <c r="C6" s="43" t="s">
        <v>48</v>
      </c>
      <c r="D6" s="76"/>
      <c r="E6" s="32"/>
      <c r="F6" s="79" t="s">
        <v>24</v>
      </c>
      <c r="G6" s="80"/>
      <c r="H6" s="53"/>
    </row>
    <row r="7" spans="2:8" ht="12.75">
      <c r="B7" s="133" t="s">
        <v>20</v>
      </c>
      <c r="C7" s="45" t="str">
        <f>HLOOKUP(C5,MaterialData!$C$3:$K$4,2,FALSE)</f>
        <v>Steel</v>
      </c>
      <c r="D7" s="81"/>
      <c r="E7" s="45" t="e">
        <f>HLOOKUP(E5,MaterialData!$C$3:$K$4,2,FALSE)</f>
        <v>#N/A</v>
      </c>
      <c r="F7" s="45" t="e">
        <f>HLOOKUP(F5,MaterialData!$C$3:$K$4,2,FALSE)</f>
        <v>#N/A</v>
      </c>
      <c r="G7" s="82"/>
      <c r="H7" s="53"/>
    </row>
    <row r="8" spans="2:12" ht="12.75">
      <c r="B8" s="133" t="s">
        <v>21</v>
      </c>
      <c r="C8" s="45">
        <f>INDEX(Innertable,MATCH($B8,MaterialData!$B$5:$B$10,0),MATCH(C$7,MaterialData!$C$4:$K$4,0))</f>
        <v>200000000000</v>
      </c>
      <c r="D8" s="81"/>
      <c r="E8" s="45" t="e">
        <f>INDEX(Innertable,MATCH($B8,MaterialData!$B$5:$B$10,0),MATCH(E$7,MaterialData!$C$4:$K$4,0))</f>
        <v>#N/A</v>
      </c>
      <c r="F8" s="45" t="e">
        <f>INDEX(Innertable,MATCH($B8,MaterialData!$B$5:$B$10,0),MATCH(F$7,MaterialData!$C$4:$K$4,0))</f>
        <v>#N/A</v>
      </c>
      <c r="G8" s="82"/>
      <c r="H8" s="53"/>
      <c r="L8" s="134"/>
    </row>
    <row r="9" spans="2:12" ht="12.75">
      <c r="B9" s="133" t="s">
        <v>10</v>
      </c>
      <c r="C9" s="45">
        <f>INDEX(Innertable,MATCH($B9,MaterialData!$B$5:$B$10,0),MATCH(C$7,MaterialData!$C$4:$K$4,0))</f>
        <v>305000000</v>
      </c>
      <c r="D9" s="81"/>
      <c r="E9" s="45" t="e">
        <f>INDEX(Innertable,MATCH($B9,MaterialData!$B$5:$B$10,0),MATCH(E$7,MaterialData!$C$4:$K$4,0))</f>
        <v>#N/A</v>
      </c>
      <c r="F9" s="45" t="e">
        <f>INDEX(Innertable,MATCH($B9,MaterialData!$B$5:$B$10,0),MATCH(F$7,MaterialData!$C$4:$K$4,0))</f>
        <v>#N/A</v>
      </c>
      <c r="G9" s="82"/>
      <c r="H9" s="53"/>
      <c r="L9" s="134"/>
    </row>
    <row r="10" spans="2:12" ht="12.75">
      <c r="B10" s="133" t="s">
        <v>11</v>
      </c>
      <c r="C10" s="45">
        <f>INDEX(Innertable,MATCH($B10,MaterialData!$B$5:$B$10,0),MATCH(C$7,MaterialData!$C$4:$K$4,0))</f>
        <v>365000000</v>
      </c>
      <c r="D10" s="81"/>
      <c r="E10" s="45" t="e">
        <f>INDEX(Innertable,MATCH($B10,MaterialData!$B$5:$B$10,0),MATCH(E$7,MaterialData!$C$4:$K$4,0))</f>
        <v>#N/A</v>
      </c>
      <c r="F10" s="45" t="e">
        <f>INDEX(Innertable,MATCH($B10,MaterialData!$B$5:$B$10,0),MATCH(F$7,MaterialData!$C$4:$K$4,0))</f>
        <v>#N/A</v>
      </c>
      <c r="G10" s="82"/>
      <c r="H10" s="53"/>
      <c r="L10" s="134"/>
    </row>
    <row r="11" spans="2:12" ht="12.75">
      <c r="B11" s="133" t="s">
        <v>9</v>
      </c>
      <c r="C11" s="45">
        <f>INDEX(Innertable,MATCH($B11,MaterialData!$B$5:$B$10,0),MATCH(C$7,MaterialData!$C$4:$K$4,0))</f>
        <v>180000000</v>
      </c>
      <c r="D11" s="81"/>
      <c r="E11" s="45" t="e">
        <f>INDEX(Innertable,MATCH($B11,MaterialData!$B$5:$B$10,0),MATCH(E$7,MaterialData!$C$4:$K$4,0))</f>
        <v>#N/A</v>
      </c>
      <c r="F11" s="45" t="e">
        <f>INDEX(Innertable,MATCH($B11,MaterialData!$B$5:$B$10,0),MATCH(F$7,MaterialData!$C$4:$K$4,0))</f>
        <v>#N/A</v>
      </c>
      <c r="G11" s="82"/>
      <c r="H11" s="53"/>
      <c r="L11" s="134"/>
    </row>
    <row r="12" spans="2:12" ht="12.75">
      <c r="B12" s="133" t="s">
        <v>8</v>
      </c>
      <c r="C12" s="45">
        <f>INDEX(Innertable,MATCH($B12,MaterialData!$B$5:$B$10,0),MATCH(C$7,MaterialData!$C$4:$K$4,0))</f>
        <v>300000000</v>
      </c>
      <c r="D12" s="81"/>
      <c r="E12" s="45" t="e">
        <f>INDEX(Innertable,MATCH($B12,MaterialData!$B$5:$B$10,0),MATCH(E$7,MaterialData!$C$4:$K$4,0))</f>
        <v>#N/A</v>
      </c>
      <c r="F12" s="45" t="e">
        <f>INDEX(Innertable,MATCH($B12,MaterialData!$B$5:$B$10,0),MATCH(F$7,MaterialData!$C$4:$K$4,0))</f>
        <v>#N/A</v>
      </c>
      <c r="G12" s="82"/>
      <c r="H12" s="53"/>
      <c r="L12" s="134"/>
    </row>
    <row r="13" spans="3:12" ht="12.75">
      <c r="C13" s="76"/>
      <c r="D13" s="53"/>
      <c r="E13" s="78"/>
      <c r="F13" s="53"/>
      <c r="G13" s="80"/>
      <c r="H13" s="53"/>
      <c r="L13" s="134"/>
    </row>
    <row r="14" spans="2:12" ht="12.75">
      <c r="B14" s="133" t="s">
        <v>35</v>
      </c>
      <c r="C14" s="43">
        <v>1</v>
      </c>
      <c r="D14" s="53"/>
      <c r="E14" s="32"/>
      <c r="F14" s="53"/>
      <c r="G14" s="80"/>
      <c r="H14" s="53"/>
      <c r="L14" s="134"/>
    </row>
    <row r="15" spans="2:12" ht="12.75">
      <c r="B15" s="133" t="s">
        <v>114</v>
      </c>
      <c r="C15" s="43">
        <f>IF(AND(E6="round",E16&gt;=1.75),25,25.4)</f>
        <v>25.4</v>
      </c>
      <c r="D15" s="76"/>
      <c r="E15" s="32"/>
      <c r="F15" s="76"/>
      <c r="G15" s="80"/>
      <c r="H15" s="53"/>
      <c r="L15" s="134"/>
    </row>
    <row r="16" spans="2:12" ht="12.75">
      <c r="B16" s="133" t="s">
        <v>115</v>
      </c>
      <c r="C16" s="43">
        <f>IF(AND(E6="round",C15=25),1.75,1.6)</f>
        <v>1.6</v>
      </c>
      <c r="D16" s="76"/>
      <c r="E16" s="32"/>
      <c r="F16" s="76"/>
      <c r="G16" s="80"/>
      <c r="H16" s="53"/>
      <c r="L16" s="134"/>
    </row>
    <row r="17" spans="2:12" ht="12.75">
      <c r="B17" s="124"/>
      <c r="C17" s="76"/>
      <c r="D17" s="76"/>
      <c r="E17" s="80"/>
      <c r="F17" s="76"/>
      <c r="G17" s="80"/>
      <c r="H17" s="53"/>
      <c r="L17" s="134"/>
    </row>
    <row r="18" spans="2:12" ht="12.75">
      <c r="B18" s="135" t="s">
        <v>25</v>
      </c>
      <c r="C18" s="76"/>
      <c r="D18" s="76"/>
      <c r="E18" s="80"/>
      <c r="F18" s="50"/>
      <c r="G18" s="80"/>
      <c r="H18" s="53"/>
      <c r="L18" s="134"/>
    </row>
    <row r="19" spans="2:12" ht="12.75">
      <c r="B19" s="135" t="s">
        <v>26</v>
      </c>
      <c r="C19" s="76"/>
      <c r="D19" s="76"/>
      <c r="E19" s="80"/>
      <c r="F19" s="50"/>
      <c r="G19" s="80"/>
      <c r="H19" s="53"/>
      <c r="J19" s="136"/>
      <c r="K19" s="136"/>
      <c r="L19" s="134"/>
    </row>
    <row r="20" spans="2:12" ht="12.75">
      <c r="B20" s="135" t="s">
        <v>27</v>
      </c>
      <c r="C20" s="53"/>
      <c r="D20" s="76"/>
      <c r="E20" s="80"/>
      <c r="F20" s="83">
        <f>(F18-F19)/2</f>
        <v>0</v>
      </c>
      <c r="G20" s="80"/>
      <c r="H20" s="53"/>
      <c r="J20" s="136"/>
      <c r="K20" s="136"/>
      <c r="L20" s="134"/>
    </row>
    <row r="21" spans="2:12" ht="12.75">
      <c r="B21" s="135" t="s">
        <v>28</v>
      </c>
      <c r="C21" s="53"/>
      <c r="D21" s="76"/>
      <c r="E21" s="80"/>
      <c r="F21" s="50"/>
      <c r="G21" s="80"/>
      <c r="H21" s="53"/>
      <c r="J21" s="136"/>
      <c r="K21" s="136"/>
      <c r="L21" s="134"/>
    </row>
    <row r="22" spans="2:12" ht="12.75">
      <c r="B22" s="124"/>
      <c r="C22" s="76"/>
      <c r="D22" s="76"/>
      <c r="E22" s="84"/>
      <c r="F22" s="76"/>
      <c r="G22" s="80"/>
      <c r="H22" s="53"/>
      <c r="J22" s="136"/>
      <c r="K22" s="136"/>
      <c r="L22" s="134"/>
    </row>
    <row r="23" spans="2:12" ht="12.75">
      <c r="B23" s="133" t="s">
        <v>4</v>
      </c>
      <c r="C23" s="43">
        <f>C15/1000</f>
        <v>0.0254</v>
      </c>
      <c r="D23" s="76"/>
      <c r="E23" s="43">
        <f>IF(F2="Composite only","No tubes",E15/1000)</f>
        <v>0</v>
      </c>
      <c r="F23" s="76"/>
      <c r="G23" s="80"/>
      <c r="H23" s="53"/>
      <c r="L23" s="134"/>
    </row>
    <row r="24" spans="2:16" ht="12.75">
      <c r="B24" s="133" t="s">
        <v>107</v>
      </c>
      <c r="C24" s="43">
        <f>C16/1000</f>
        <v>0.0016</v>
      </c>
      <c r="D24" s="76"/>
      <c r="E24" s="43">
        <f>IF(F2="Composite only","",E16/1000)</f>
        <v>0</v>
      </c>
      <c r="F24" s="76"/>
      <c r="G24" s="84"/>
      <c r="H24" s="53"/>
      <c r="L24" s="134"/>
      <c r="P24" s="137"/>
    </row>
    <row r="25" spans="2:16" ht="12.75">
      <c r="B25" s="133" t="s">
        <v>3</v>
      </c>
      <c r="C25" s="45">
        <f>IF(C6="Round",((C23)^4-((C23-2*C24))^4)*3.142/64,((C23)^4-((C23-2*C24))^4)/12)</f>
        <v>8.509918480000002E-09</v>
      </c>
      <c r="D25" s="76"/>
      <c r="E25" s="45">
        <f>IF(F2="Composite only","",IF(E6="Round",((E23)^4-((E23-2*E24))^4)*3.142/64,IF(E6="Square",((E23)^4-((E23-2*E24))^4)/12,"")))</f>
      </c>
      <c r="F25" s="86" t="str">
        <f>IF($F$2="Tubing only","Tubing Only",(F21/1000)*((F18/1000)^3-(F19/1000)^3)/12)</f>
        <v>Tubing Only</v>
      </c>
      <c r="G25" s="45">
        <f aca="true" t="shared" si="0" ref="G25:G32">IF($F$2="Tubing only",E25,IF($F$2="Composite only",F25,IF($F$2="Tubes + Composite",E25+F25,"No Type Selected")))</f>
      </c>
      <c r="H25" s="53"/>
      <c r="L25" s="134"/>
      <c r="O25" s="134"/>
      <c r="P25" s="137"/>
    </row>
    <row r="26" spans="2:8" ht="12.75">
      <c r="B26" s="133" t="s">
        <v>0</v>
      </c>
      <c r="C26" s="45">
        <f>C8*C25*C14</f>
        <v>1701.9836960000005</v>
      </c>
      <c r="D26" s="81"/>
      <c r="E26" s="45" t="e">
        <f>IF(F2="Composite only","",E8*E25*E14)</f>
        <v>#N/A</v>
      </c>
      <c r="F26" s="86">
        <f>IF(F25="Tubing Only","",F25*F8)</f>
      </c>
      <c r="G26" s="45" t="e">
        <f t="shared" si="0"/>
        <v>#N/A</v>
      </c>
      <c r="H26" s="51" t="e">
        <f aca="true" t="shared" si="1" ref="H26:H32">100*G26/C26</f>
        <v>#N/A</v>
      </c>
    </row>
    <row r="27" spans="2:15" ht="12.75">
      <c r="B27" s="133" t="s">
        <v>108</v>
      </c>
      <c r="C27" s="46">
        <f>IF(C23="no tubes","",IF(C14=0,"",IF(C6="Round",C14*((C15^2-(C15-2*C16)^2)*PI()/4),IF(C6="Square",C14*(C15^2-(C15-2*C16)^2),""))))</f>
        <v>119.63184824869931</v>
      </c>
      <c r="D27" s="87"/>
      <c r="E27" s="46">
        <f>IF(E23="no tubes","",IF(E14=0,"",IF(E6="Round",E14*((E15^2-(E15-2*E16)^2)*PI()/4),IF(E6="Square",E14*(E15^2-(E15-2*E16)^2),""))))</f>
      </c>
      <c r="F27" s="46">
        <f>IF(F25="Tubing Only","",(F18-F19)*F21)</f>
      </c>
      <c r="G27" s="46">
        <f t="shared" si="0"/>
      </c>
      <c r="H27" s="51" t="str">
        <f>IF(AND(F2="tubing only",E5="steel"),100*G27/C27,"NA")</f>
        <v>NA</v>
      </c>
      <c r="I27" s="123">
        <f>IF(AND(95&lt;H27,H27&lt;100),"For tubes only, provided your actual tube measures &gt;= your nominal OD and wall this is OK","")</f>
      </c>
      <c r="O27" s="134"/>
    </row>
    <row r="28" spans="2:9" ht="12.75">
      <c r="B28" s="133" t="s">
        <v>109</v>
      </c>
      <c r="C28" s="45">
        <f>C$27*C9/1000000</f>
        <v>36487.71371585329</v>
      </c>
      <c r="D28" s="81"/>
      <c r="E28" s="45" t="e">
        <f>IF(F2="Composite only","",E$27*E9/1000000)</f>
        <v>#VALUE!</v>
      </c>
      <c r="F28" s="45">
        <f>IF(F25="Tubing Only","",F27*F9/1000000)</f>
      </c>
      <c r="G28" s="45" t="e">
        <f t="shared" si="0"/>
        <v>#VALUE!</v>
      </c>
      <c r="H28" s="51" t="e">
        <f t="shared" si="1"/>
        <v>#VALUE!</v>
      </c>
      <c r="I28" s="123" t="e">
        <f>IF(AND(95&lt;H28,H28&lt;100),"For tubes only, provided your actual tube measures &gt;= your nominal OD and wall this is OK","")</f>
        <v>#VALUE!</v>
      </c>
    </row>
    <row r="29" spans="2:15" ht="12.75">
      <c r="B29" s="133" t="s">
        <v>5</v>
      </c>
      <c r="C29" s="45">
        <f>C$27*C10/1000000</f>
        <v>43665.624610775245</v>
      </c>
      <c r="D29" s="81"/>
      <c r="E29" s="45" t="e">
        <f>IF(F2="Composite only","",E$27*E10/1000000)</f>
        <v>#VALUE!</v>
      </c>
      <c r="F29" s="45">
        <f>IF(F25="Tubing Only","",F27*F10/1000000)</f>
      </c>
      <c r="G29" s="45" t="e">
        <f t="shared" si="0"/>
        <v>#VALUE!</v>
      </c>
      <c r="H29" s="51" t="e">
        <f t="shared" si="1"/>
        <v>#VALUE!</v>
      </c>
      <c r="I29" s="123" t="e">
        <f>IF(AND(95&lt;H29,H29&lt;100),"For tubes only, provided your actual tube measures &gt;= your nominal OD and wall this is OK","")</f>
        <v>#VALUE!</v>
      </c>
      <c r="O29" s="134"/>
    </row>
    <row r="30" spans="2:15" ht="12.75">
      <c r="B30" s="133" t="s">
        <v>110</v>
      </c>
      <c r="C30" s="45">
        <f>C$27*C11/1000000</f>
        <v>21533.732684765877</v>
      </c>
      <c r="D30" s="81"/>
      <c r="E30" s="45" t="e">
        <f>IF(F2="Composite only","",E$27*E11/1000000)</f>
        <v>#VALUE!</v>
      </c>
      <c r="F30" s="45">
        <f>IF(F25="Tubing Only","",F27*F9/1000000)</f>
      </c>
      <c r="G30" s="45" t="e">
        <f t="shared" si="0"/>
        <v>#VALUE!</v>
      </c>
      <c r="H30" s="51" t="e">
        <f t="shared" si="1"/>
        <v>#VALUE!</v>
      </c>
      <c r="I30" s="123" t="e">
        <f>IF(AND(95&lt;H30,H30&lt;100),"For tubes only, provided your actual tube measures &gt;= your nominal OD and wall this is OK","")</f>
        <v>#VALUE!</v>
      </c>
      <c r="O30" s="134"/>
    </row>
    <row r="31" spans="2:15" ht="12.75">
      <c r="B31" s="133" t="s">
        <v>6</v>
      </c>
      <c r="C31" s="45">
        <f>IF(C14=0,"",C$27*C12/1000000)</f>
        <v>35889.554474609795</v>
      </c>
      <c r="D31" s="81"/>
      <c r="E31" s="45" t="e">
        <f>IF(F2="Composite only","",E$27*E12/1000000)</f>
        <v>#VALUE!</v>
      </c>
      <c r="F31" s="45">
        <f>IF(F25="tubing only","",F27*F10/1000000)</f>
      </c>
      <c r="G31" s="45" t="e">
        <f t="shared" si="0"/>
        <v>#VALUE!</v>
      </c>
      <c r="H31" s="51" t="e">
        <f t="shared" si="1"/>
        <v>#VALUE!</v>
      </c>
      <c r="I31" s="123" t="e">
        <f>IF(AND(95&lt;H31,H31&lt;100),"For tubes only, provided your actual tube measures &gt;= your nominal OD and wall this is OK","")</f>
        <v>#VALUE!</v>
      </c>
      <c r="O31" s="134"/>
    </row>
    <row r="32" spans="2:8" ht="12.75">
      <c r="B32" s="133" t="s">
        <v>111</v>
      </c>
      <c r="C32" s="45">
        <f>C14*4*C10*C25/(0.5*C23*1)</f>
        <v>978.3055890393704</v>
      </c>
      <c r="D32" s="76"/>
      <c r="E32" s="45" t="e">
        <f>IF(F2="Composite only","",E14*4*E10*E25/(0.5*E23*1))</f>
        <v>#N/A</v>
      </c>
      <c r="F32" s="45">
        <f>IF(F25="tubing only","",4*F10*F25/(0.001*0.5*F18*1))</f>
      </c>
      <c r="G32" s="45" t="e">
        <f t="shared" si="0"/>
        <v>#N/A</v>
      </c>
      <c r="H32" s="51" t="e">
        <f t="shared" si="1"/>
        <v>#N/A</v>
      </c>
    </row>
    <row r="33" spans="2:8" ht="12.75">
      <c r="B33" s="133" t="s">
        <v>112</v>
      </c>
      <c r="C33" s="45">
        <f>IF(C14=0,"",C32*1^3/(48*C26))</f>
        <v>0.0119750656167979</v>
      </c>
      <c r="D33" s="76"/>
      <c r="E33" s="45" t="e">
        <f>IF($F$2="tubing only",$C$32*1^3/(48*E26),"")</f>
        <v>#N/A</v>
      </c>
      <c r="F33" s="45">
        <f>IF($F$2="tubing only","",$C$32*1^3/(48*F26))</f>
      </c>
      <c r="G33" s="45" t="e">
        <f>$C$32*1^3/(48*G26)</f>
        <v>#N/A</v>
      </c>
      <c r="H33" s="51" t="e">
        <f>100*G33/C33</f>
        <v>#N/A</v>
      </c>
    </row>
    <row r="34" spans="2:8" ht="12.75">
      <c r="B34" s="133" t="s">
        <v>113</v>
      </c>
      <c r="C34" s="45">
        <f>0.5*C32*(C32*1^3/(48*C26))</f>
        <v>5.85763681101329</v>
      </c>
      <c r="D34" s="66"/>
      <c r="E34" s="45" t="e">
        <f>IF(E23="no tubes","",0.5*E32*(E32*1^3/(48*E26)))</f>
        <v>#N/A</v>
      </c>
      <c r="F34" s="45">
        <f>IF(F25="tubing only","",0.5*F32*(F32*1^3/(48*F26)))</f>
      </c>
      <c r="G34" s="45" t="e">
        <f>IF($F$2="Tubing only",E34,IF($F$2="Composite only",F34,IF($F$2="Tubes + Composite",E34+F34,"No Type Selected")))</f>
        <v>#N/A</v>
      </c>
      <c r="H34" s="51" t="e">
        <f>100*G34/C34</f>
        <v>#N/A</v>
      </c>
    </row>
  </sheetData>
  <sheetProtection password="DCC8" sheet="1" objects="1" scenarios="1"/>
  <mergeCells count="2">
    <mergeCell ref="C2:E2"/>
    <mergeCell ref="F2:G2"/>
  </mergeCells>
  <conditionalFormatting sqref="H26:H32 H34">
    <cfRule type="cellIs" priority="1" dxfId="0" operator="greaterThanOrEqual" stopIfTrue="1">
      <formula>100</formula>
    </cfRule>
    <cfRule type="cellIs" priority="2" dxfId="1" operator="lessThan" stopIfTrue="1">
      <formula>100</formula>
    </cfRule>
  </conditionalFormatting>
  <conditionalFormatting sqref="H33">
    <cfRule type="cellIs" priority="3" dxfId="1" operator="greaterThanOrEqual" stopIfTrue="1">
      <formula>100.01</formula>
    </cfRule>
    <cfRule type="cellIs" priority="4" dxfId="0" operator="lessThan" stopIfTrue="1">
      <formula>100.01</formula>
    </cfRule>
  </conditionalFormatting>
  <dataValidations count="4">
    <dataValidation allowBlank="1" showInputMessage="1" showErrorMessage="1" promptTitle="Select Material" sqref="F6 C6"/>
    <dataValidation type="list" allowBlank="1" showInputMessage="1" showErrorMessage="1" promptTitle="Select Material" sqref="E6">
      <formula1>Tube_Type</formula1>
    </dataValidation>
    <dataValidation type="list" allowBlank="1" showInputMessage="1" showErrorMessage="1" sqref="F2">
      <formula1>ConstructionType</formula1>
    </dataValidation>
    <dataValidation type="list" allowBlank="1" showInputMessage="1" showErrorMessage="1" promptTitle="Select Material" sqref="G5:G6 E5:F5 D5:D6 C5 G13:G14">
      <formula1>Materials</formula1>
    </dataValidation>
  </dataValidation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FSAE Structural Equivalency Spreadsheet</dc:title>
  <dc:subject/>
  <dc:creator>Andrew Deakin;dan.jones@flybridsystems.com</dc:creator>
  <cp:keywords/>
  <dc:description/>
  <cp:lastModifiedBy>harpreet.juneja</cp:lastModifiedBy>
  <cp:lastPrinted>2012-11-18T21:59:34Z</cp:lastPrinted>
  <dcterms:created xsi:type="dcterms:W3CDTF">2011-03-12T12:50:23Z</dcterms:created>
  <dcterms:modified xsi:type="dcterms:W3CDTF">2019-04-23T07:56:53Z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